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991D886F-E560-4852-8F40-533547432334}" xr6:coauthVersionLast="44" xr6:coauthVersionMax="44" xr10:uidLastSave="{00000000-0000-0000-0000-000000000000}"/>
  <bookViews>
    <workbookView xWindow="-120" yWindow="-120" windowWidth="29040" windowHeight="15840" activeTab="2" xr2:uid="{00000000-000D-0000-FFFF-FFFF00000000}"/>
  </bookViews>
  <sheets>
    <sheet name="Тарифы" sheetId="1" r:id="rId1"/>
    <sheet name="Тарифы для онкодиспансеров" sheetId="2" r:id="rId2"/>
    <sheet name="Группировка по &quot;одноклассникам&quot;" sheetId="3" r:id="rId3"/>
  </sheets>
  <externalReferences>
    <externalReference r:id="rId4"/>
  </externalReferences>
  <definedNames>
    <definedName name="_1fob9te" localSheetId="2">'Группировка по "одноклассникам"'!$A$21</definedName>
    <definedName name="_1t3h5sf" localSheetId="2">'Группировка по "одноклассникам"'!$A$122</definedName>
    <definedName name="_2et92p0" localSheetId="2">'Группировка по "одноклассникам"'!$A$112</definedName>
    <definedName name="_30j0zll" localSheetId="2">'Группировка по "одноклассникам"'!$A$16</definedName>
    <definedName name="_3dy6vkm" localSheetId="2">'Группировка по "одноклассникам"'!$A$118</definedName>
    <definedName name="_3znysh7" localSheetId="2">'Группировка по "одноклассникам"'!$A$108</definedName>
    <definedName name="_gjdgxs" localSheetId="2">'Группировка по "одноклассникам"'!$A$12</definedName>
    <definedName name="_tyjcwt" localSheetId="2">'Группировка по "одноклассникам"'!$A$116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D34" i="3" l="1"/>
  <c r="BD18" i="3"/>
  <c r="BD77" i="3"/>
  <c r="BD44" i="3"/>
  <c r="BD30" i="3"/>
  <c r="BD14" i="3"/>
  <c r="BD73" i="3"/>
  <c r="BD40" i="3"/>
  <c r="BD26" i="3"/>
  <c r="BD10" i="3"/>
  <c r="BD89" i="3"/>
  <c r="BD71" i="3"/>
  <c r="BD56" i="3"/>
  <c r="BD38" i="3"/>
  <c r="BD24" i="3"/>
  <c r="BD8" i="3"/>
  <c r="AX34" i="3"/>
  <c r="AX18" i="3"/>
  <c r="AX77" i="3"/>
  <c r="AX44" i="3"/>
  <c r="AX30" i="3"/>
  <c r="AX14" i="3"/>
  <c r="AX73" i="3"/>
  <c r="AX40" i="3"/>
  <c r="AX26" i="3"/>
  <c r="AX10" i="3"/>
  <c r="AX89" i="3"/>
  <c r="AX71" i="3"/>
  <c r="AX56" i="3"/>
  <c r="AX38" i="3"/>
  <c r="AX24" i="3"/>
  <c r="AX8" i="3"/>
  <c r="AR93" i="3"/>
  <c r="AR60" i="3"/>
  <c r="AR34" i="3"/>
  <c r="AR18" i="3"/>
  <c r="AR77" i="3"/>
  <c r="AR44" i="3"/>
  <c r="AR30" i="3"/>
  <c r="AR14" i="3"/>
  <c r="AR73" i="3"/>
  <c r="AR40" i="3"/>
  <c r="AR26" i="3"/>
  <c r="AR10" i="3"/>
  <c r="AR89" i="3"/>
  <c r="AR71" i="3"/>
  <c r="AR56" i="3"/>
  <c r="AR38" i="3"/>
  <c r="AR24" i="3"/>
  <c r="AR8" i="3"/>
  <c r="AL34" i="3"/>
  <c r="AL18" i="3"/>
  <c r="AL77" i="3"/>
  <c r="AL44" i="3"/>
  <c r="AL30" i="3"/>
  <c r="AL14" i="3"/>
  <c r="AL73" i="3"/>
  <c r="AL40" i="3"/>
  <c r="AL26" i="3"/>
  <c r="AL10" i="3"/>
  <c r="AL89" i="3"/>
  <c r="AL71" i="3"/>
  <c r="AL56" i="3"/>
  <c r="AL38" i="3"/>
  <c r="AL24" i="3"/>
  <c r="AL8" i="3"/>
  <c r="AF34" i="3"/>
  <c r="AF18" i="3"/>
  <c r="AF77" i="3"/>
  <c r="AF44" i="3"/>
  <c r="AF30" i="3"/>
  <c r="AF14" i="3"/>
  <c r="AF73" i="3"/>
  <c r="AF40" i="3"/>
  <c r="AF26" i="3"/>
  <c r="AF10" i="3"/>
  <c r="AF56" i="3"/>
  <c r="AF38" i="3"/>
  <c r="AF24" i="3"/>
  <c r="AF8" i="3"/>
  <c r="Z34" i="3"/>
  <c r="Z18" i="3"/>
  <c r="Z77" i="3"/>
  <c r="Z44" i="3"/>
  <c r="Z30" i="3"/>
  <c r="Z14" i="3"/>
  <c r="Z73" i="3"/>
  <c r="Z40" i="3"/>
  <c r="Z26" i="3"/>
  <c r="Z10" i="3"/>
  <c r="Z89" i="3"/>
  <c r="Z71" i="3"/>
  <c r="Z56" i="3"/>
  <c r="Z38" i="3"/>
  <c r="Z24" i="3"/>
  <c r="Z8" i="3"/>
  <c r="T34" i="3"/>
  <c r="T18" i="3"/>
  <c r="T77" i="3"/>
  <c r="T44" i="3"/>
  <c r="T30" i="3"/>
  <c r="T14" i="3"/>
  <c r="T73" i="3"/>
  <c r="T40" i="3"/>
  <c r="T26" i="3"/>
  <c r="T10" i="3"/>
  <c r="T89" i="3"/>
  <c r="T71" i="3"/>
  <c r="T56" i="3"/>
  <c r="T38" i="3"/>
  <c r="T24" i="3"/>
  <c r="T8" i="3"/>
  <c r="N34" i="3" l="1"/>
  <c r="N18" i="3"/>
  <c r="N77" i="3"/>
  <c r="N44" i="3"/>
  <c r="N30" i="3"/>
  <c r="N14" i="3"/>
  <c r="N73" i="3"/>
  <c r="N40" i="3"/>
  <c r="N26" i="3"/>
  <c r="N10" i="3"/>
  <c r="N89" i="3"/>
  <c r="N71" i="3"/>
  <c r="N56" i="3"/>
  <c r="N38" i="3"/>
  <c r="N24" i="3"/>
  <c r="N8" i="3"/>
  <c r="H34" i="3" l="1"/>
  <c r="H18" i="3"/>
  <c r="H77" i="3"/>
  <c r="H44" i="3"/>
  <c r="H30" i="3"/>
  <c r="H14" i="3"/>
  <c r="H73" i="3"/>
  <c r="H40" i="3"/>
  <c r="H26" i="3"/>
  <c r="H10" i="3"/>
  <c r="H89" i="3"/>
  <c r="H71" i="3"/>
  <c r="H56" i="3"/>
  <c r="H38" i="3"/>
  <c r="H24" i="3"/>
  <c r="H8" i="3"/>
  <c r="Q257" i="2" l="1"/>
  <c r="Q241" i="2"/>
  <c r="Q230" i="2"/>
  <c r="Q213" i="2"/>
  <c r="Q202" i="2"/>
  <c r="Q185" i="2"/>
  <c r="Q174" i="2"/>
  <c r="Q157" i="2"/>
  <c r="Q146" i="2"/>
  <c r="Q129" i="2"/>
  <c r="Q118" i="2"/>
  <c r="Q102" i="2"/>
  <c r="Q91" i="2"/>
  <c r="Q74" i="2"/>
  <c r="Q63" i="2"/>
  <c r="Q46" i="2"/>
  <c r="Q34" i="2"/>
  <c r="Q18" i="2"/>
  <c r="BB119" i="3" l="1"/>
  <c r="BB52" i="3"/>
  <c r="BB62" i="3" s="1"/>
  <c r="BB68" i="3" s="1"/>
  <c r="BB50" i="3"/>
  <c r="BB58" i="3" s="1"/>
  <c r="BB66" i="3" s="1"/>
  <c r="BB46" i="3"/>
  <c r="BB42" i="3"/>
  <c r="BB16" i="3"/>
  <c r="BB12" i="3"/>
  <c r="BB5" i="3"/>
  <c r="V257" i="2"/>
  <c r="U257" i="2"/>
  <c r="V256" i="2"/>
  <c r="Q256" i="2"/>
  <c r="V255" i="2"/>
  <c r="Q255" i="2"/>
  <c r="K255" i="2"/>
  <c r="J255" i="2"/>
  <c r="U255" i="2" s="1"/>
  <c r="I255" i="2"/>
  <c r="V254" i="2"/>
  <c r="U254" i="2"/>
  <c r="R254" i="2"/>
  <c r="Q254" i="2"/>
  <c r="V253" i="2"/>
  <c r="Q253" i="2"/>
  <c r="V252" i="2"/>
  <c r="Q252" i="2"/>
  <c r="V251" i="2"/>
  <c r="R251" i="2"/>
  <c r="Q251" i="2"/>
  <c r="K251" i="2"/>
  <c r="J251" i="2"/>
  <c r="U251" i="2" s="1"/>
  <c r="I251" i="2"/>
  <c r="V250" i="2"/>
  <c r="Q250" i="2"/>
  <c r="V249" i="2"/>
  <c r="Q249" i="2"/>
  <c r="V248" i="2"/>
  <c r="Q248" i="2"/>
  <c r="K248" i="2"/>
  <c r="I248" i="2"/>
  <c r="V247" i="2"/>
  <c r="Q247" i="2"/>
  <c r="J247" i="2"/>
  <c r="R248" i="2" s="1"/>
  <c r="V246" i="2"/>
  <c r="Q246" i="2"/>
  <c r="V245" i="2"/>
  <c r="Q245" i="2"/>
  <c r="V244" i="2"/>
  <c r="Q244" i="2"/>
  <c r="V243" i="2"/>
  <c r="Q243" i="2"/>
  <c r="K243" i="2"/>
  <c r="J243" i="2"/>
  <c r="R243" i="2" s="1"/>
  <c r="I243" i="2"/>
  <c r="V242" i="2"/>
  <c r="R242" i="2"/>
  <c r="Q242" i="2"/>
  <c r="K242" i="2"/>
  <c r="J242" i="2"/>
  <c r="U242" i="2" s="1"/>
  <c r="I242" i="2"/>
  <c r="V241" i="2"/>
  <c r="U241" i="2"/>
  <c r="V240" i="2"/>
  <c r="Q240" i="2"/>
  <c r="K240" i="2"/>
  <c r="J240" i="2"/>
  <c r="U240" i="2" s="1"/>
  <c r="I240" i="2"/>
  <c r="V239" i="2"/>
  <c r="U239" i="2"/>
  <c r="R239" i="2"/>
  <c r="Q239" i="2"/>
  <c r="V238" i="2"/>
  <c r="Q238" i="2"/>
  <c r="V237" i="2"/>
  <c r="Q237" i="2"/>
  <c r="V236" i="2"/>
  <c r="Q236" i="2"/>
  <c r="K236" i="2"/>
  <c r="J236" i="2"/>
  <c r="R236" i="2" s="1"/>
  <c r="I236" i="2"/>
  <c r="V235" i="2"/>
  <c r="R235" i="2"/>
  <c r="Q235" i="2"/>
  <c r="K235" i="2"/>
  <c r="J235" i="2"/>
  <c r="U235" i="2" s="1"/>
  <c r="I235" i="2"/>
  <c r="V230" i="2"/>
  <c r="U230" i="2"/>
  <c r="V229" i="2"/>
  <c r="Q229" i="2"/>
  <c r="V228" i="2"/>
  <c r="R228" i="2"/>
  <c r="Q228" i="2"/>
  <c r="K228" i="2"/>
  <c r="J228" i="2"/>
  <c r="U228" i="2" s="1"/>
  <c r="I228" i="2"/>
  <c r="V227" i="2"/>
  <c r="U227" i="2"/>
  <c r="R227" i="2"/>
  <c r="Q227" i="2"/>
  <c r="V226" i="2"/>
  <c r="Q226" i="2"/>
  <c r="V225" i="2"/>
  <c r="Q225" i="2"/>
  <c r="V224" i="2"/>
  <c r="R224" i="2"/>
  <c r="Q224" i="2"/>
  <c r="K224" i="2"/>
  <c r="J224" i="2"/>
  <c r="U224" i="2" s="1"/>
  <c r="I224" i="2"/>
  <c r="V223" i="2"/>
  <c r="Q223" i="2"/>
  <c r="V222" i="2"/>
  <c r="Q222" i="2"/>
  <c r="V221" i="2"/>
  <c r="Q221" i="2"/>
  <c r="K221" i="2"/>
  <c r="I221" i="2"/>
  <c r="V220" i="2"/>
  <c r="Q220" i="2"/>
  <c r="J220" i="2"/>
  <c r="R221" i="2" s="1"/>
  <c r="V219" i="2"/>
  <c r="Q219" i="2"/>
  <c r="V218" i="2"/>
  <c r="Q218" i="2"/>
  <c r="V217" i="2"/>
  <c r="Q217" i="2"/>
  <c r="V216" i="2"/>
  <c r="Q216" i="2"/>
  <c r="V215" i="2"/>
  <c r="Q215" i="2"/>
  <c r="K215" i="2"/>
  <c r="J215" i="2"/>
  <c r="U215" i="2" s="1"/>
  <c r="I215" i="2"/>
  <c r="V214" i="2"/>
  <c r="Q214" i="2"/>
  <c r="K214" i="2"/>
  <c r="J214" i="2"/>
  <c r="U214" i="2" s="1"/>
  <c r="V213" i="2"/>
  <c r="U213" i="2"/>
  <c r="V212" i="2"/>
  <c r="Q212" i="2"/>
  <c r="K212" i="2"/>
  <c r="J212" i="2"/>
  <c r="U212" i="2" s="1"/>
  <c r="V211" i="2"/>
  <c r="U211" i="2"/>
  <c r="R211" i="2"/>
  <c r="Q211" i="2"/>
  <c r="V210" i="2"/>
  <c r="Q210" i="2"/>
  <c r="V209" i="2"/>
  <c r="Q209" i="2"/>
  <c r="V208" i="2"/>
  <c r="Q208" i="2"/>
  <c r="K208" i="2"/>
  <c r="J208" i="2"/>
  <c r="R208" i="2" s="1"/>
  <c r="V207" i="2"/>
  <c r="Q207" i="2"/>
  <c r="K207" i="2"/>
  <c r="J207" i="2"/>
  <c r="U207" i="2" s="1"/>
  <c r="I207" i="2"/>
  <c r="V202" i="2"/>
  <c r="U202" i="2"/>
  <c r="V201" i="2"/>
  <c r="Q201" i="2"/>
  <c r="V200" i="2"/>
  <c r="Q200" i="2"/>
  <c r="K200" i="2"/>
  <c r="J200" i="2"/>
  <c r="U200" i="2" s="1"/>
  <c r="I200" i="2"/>
  <c r="V199" i="2"/>
  <c r="U199" i="2"/>
  <c r="R199" i="2"/>
  <c r="Q199" i="2"/>
  <c r="V198" i="2"/>
  <c r="Q198" i="2"/>
  <c r="V197" i="2"/>
  <c r="Q197" i="2"/>
  <c r="V196" i="2"/>
  <c r="Q196" i="2"/>
  <c r="K196" i="2"/>
  <c r="J196" i="2"/>
  <c r="U196" i="2" s="1"/>
  <c r="I196" i="2"/>
  <c r="V195" i="2"/>
  <c r="Q195" i="2"/>
  <c r="V194" i="2"/>
  <c r="Q194" i="2"/>
  <c r="V193" i="2"/>
  <c r="Q193" i="2"/>
  <c r="K193" i="2"/>
  <c r="I193" i="2"/>
  <c r="V192" i="2"/>
  <c r="Q192" i="2"/>
  <c r="J192" i="2"/>
  <c r="U192" i="2" s="1"/>
  <c r="V191" i="2"/>
  <c r="Q191" i="2"/>
  <c r="V190" i="2"/>
  <c r="Q190" i="2"/>
  <c r="V189" i="2"/>
  <c r="Q189" i="2"/>
  <c r="V188" i="2"/>
  <c r="Q188" i="2"/>
  <c r="V187" i="2"/>
  <c r="Q187" i="2"/>
  <c r="K187" i="2"/>
  <c r="J187" i="2"/>
  <c r="U187" i="2" s="1"/>
  <c r="I187" i="2"/>
  <c r="V186" i="2"/>
  <c r="Q186" i="2"/>
  <c r="K186" i="2"/>
  <c r="J186" i="2"/>
  <c r="R186" i="2" s="1"/>
  <c r="I186" i="2"/>
  <c r="V185" i="2"/>
  <c r="U185" i="2"/>
  <c r="V184" i="2"/>
  <c r="R184" i="2"/>
  <c r="Q184" i="2"/>
  <c r="K184" i="2"/>
  <c r="J184" i="2"/>
  <c r="U184" i="2" s="1"/>
  <c r="I184" i="2"/>
  <c r="V183" i="2"/>
  <c r="U183" i="2"/>
  <c r="R183" i="2"/>
  <c r="Q183" i="2"/>
  <c r="V182" i="2"/>
  <c r="Q182" i="2"/>
  <c r="V181" i="2"/>
  <c r="Q181" i="2"/>
  <c r="V180" i="2"/>
  <c r="Q180" i="2"/>
  <c r="K180" i="2"/>
  <c r="J180" i="2"/>
  <c r="U180" i="2" s="1"/>
  <c r="I180" i="2"/>
  <c r="V179" i="2"/>
  <c r="Q179" i="2"/>
  <c r="K179" i="2"/>
  <c r="J179" i="2"/>
  <c r="R179" i="2" s="1"/>
  <c r="I179" i="2"/>
  <c r="V174" i="2"/>
  <c r="U174" i="2"/>
  <c r="V173" i="2"/>
  <c r="Q173" i="2"/>
  <c r="V172" i="2"/>
  <c r="Q172" i="2"/>
  <c r="K172" i="2"/>
  <c r="J172" i="2"/>
  <c r="R172" i="2" s="1"/>
  <c r="I172" i="2"/>
  <c r="V171" i="2"/>
  <c r="U171" i="2"/>
  <c r="R171" i="2"/>
  <c r="Q171" i="2"/>
  <c r="V170" i="2"/>
  <c r="Q170" i="2"/>
  <c r="V169" i="2"/>
  <c r="Q169" i="2"/>
  <c r="V168" i="2"/>
  <c r="Q168" i="2"/>
  <c r="K168" i="2"/>
  <c r="J168" i="2"/>
  <c r="U168" i="2" s="1"/>
  <c r="I168" i="2"/>
  <c r="V167" i="2"/>
  <c r="Q167" i="2"/>
  <c r="V166" i="2"/>
  <c r="Q166" i="2"/>
  <c r="V165" i="2"/>
  <c r="Q165" i="2"/>
  <c r="K165" i="2"/>
  <c r="I165" i="2"/>
  <c r="V164" i="2"/>
  <c r="Q164" i="2"/>
  <c r="J164" i="2"/>
  <c r="R165" i="2" s="1"/>
  <c r="V163" i="2"/>
  <c r="Q163" i="2"/>
  <c r="V162" i="2"/>
  <c r="Q162" i="2"/>
  <c r="V161" i="2"/>
  <c r="Q161" i="2"/>
  <c r="V160" i="2"/>
  <c r="Q160" i="2"/>
  <c r="V159" i="2"/>
  <c r="Q159" i="2"/>
  <c r="K159" i="2"/>
  <c r="J159" i="2"/>
  <c r="U159" i="2" s="1"/>
  <c r="I159" i="2"/>
  <c r="V158" i="2"/>
  <c r="Q158" i="2"/>
  <c r="K158" i="2"/>
  <c r="J158" i="2"/>
  <c r="U158" i="2" s="1"/>
  <c r="I158" i="2"/>
  <c r="V157" i="2"/>
  <c r="U157" i="2"/>
  <c r="V156" i="2"/>
  <c r="Q156" i="2"/>
  <c r="K156" i="2"/>
  <c r="J156" i="2"/>
  <c r="R156" i="2" s="1"/>
  <c r="I156" i="2"/>
  <c r="V155" i="2"/>
  <c r="U155" i="2"/>
  <c r="R155" i="2"/>
  <c r="Q155" i="2"/>
  <c r="V154" i="2"/>
  <c r="Q154" i="2"/>
  <c r="V153" i="2"/>
  <c r="Q153" i="2"/>
  <c r="V152" i="2"/>
  <c r="Q152" i="2"/>
  <c r="K152" i="2"/>
  <c r="J152" i="2"/>
  <c r="U152" i="2" s="1"/>
  <c r="I152" i="2"/>
  <c r="V151" i="2"/>
  <c r="Q151" i="2"/>
  <c r="K151" i="2"/>
  <c r="J151" i="2"/>
  <c r="U151" i="2" s="1"/>
  <c r="I151" i="2"/>
  <c r="V146" i="2"/>
  <c r="U146" i="2"/>
  <c r="V145" i="2"/>
  <c r="Q145" i="2"/>
  <c r="V144" i="2"/>
  <c r="Q144" i="2"/>
  <c r="K144" i="2"/>
  <c r="J144" i="2"/>
  <c r="U144" i="2" s="1"/>
  <c r="I144" i="2"/>
  <c r="V143" i="2"/>
  <c r="U143" i="2"/>
  <c r="R143" i="2"/>
  <c r="Q143" i="2"/>
  <c r="V142" i="2"/>
  <c r="Q142" i="2"/>
  <c r="V141" i="2"/>
  <c r="Q141" i="2"/>
  <c r="V140" i="2"/>
  <c r="Q140" i="2"/>
  <c r="K140" i="2"/>
  <c r="J140" i="2"/>
  <c r="U140" i="2" s="1"/>
  <c r="I140" i="2"/>
  <c r="V139" i="2"/>
  <c r="Q139" i="2"/>
  <c r="V138" i="2"/>
  <c r="Q138" i="2"/>
  <c r="V137" i="2"/>
  <c r="Q137" i="2"/>
  <c r="K137" i="2"/>
  <c r="I137" i="2"/>
  <c r="V136" i="2"/>
  <c r="Q136" i="2"/>
  <c r="J136" i="2"/>
  <c r="U136" i="2" s="1"/>
  <c r="V135" i="2"/>
  <c r="Q135" i="2"/>
  <c r="V134" i="2"/>
  <c r="Q134" i="2"/>
  <c r="V133" i="2"/>
  <c r="Q133" i="2"/>
  <c r="V132" i="2"/>
  <c r="Q132" i="2"/>
  <c r="V131" i="2"/>
  <c r="Q131" i="2"/>
  <c r="K131" i="2"/>
  <c r="J131" i="2"/>
  <c r="U131" i="2" s="1"/>
  <c r="I131" i="2"/>
  <c r="V130" i="2"/>
  <c r="Q130" i="2"/>
  <c r="K130" i="2"/>
  <c r="J130" i="2"/>
  <c r="R130" i="2" s="1"/>
  <c r="I130" i="2"/>
  <c r="V129" i="2"/>
  <c r="U129" i="2"/>
  <c r="V128" i="2"/>
  <c r="Q128" i="2"/>
  <c r="K128" i="2"/>
  <c r="J128" i="2"/>
  <c r="U128" i="2" s="1"/>
  <c r="I128" i="2"/>
  <c r="V127" i="2"/>
  <c r="U127" i="2"/>
  <c r="R127" i="2"/>
  <c r="Q127" i="2"/>
  <c r="V126" i="2"/>
  <c r="Q126" i="2"/>
  <c r="V125" i="2"/>
  <c r="Q125" i="2"/>
  <c r="V124" i="2"/>
  <c r="Q124" i="2"/>
  <c r="K124" i="2"/>
  <c r="J124" i="2"/>
  <c r="U124" i="2" s="1"/>
  <c r="I124" i="2"/>
  <c r="V123" i="2"/>
  <c r="Q123" i="2"/>
  <c r="K123" i="2"/>
  <c r="J123" i="2"/>
  <c r="R123" i="2" s="1"/>
  <c r="I123" i="2"/>
  <c r="V118" i="2"/>
  <c r="U118" i="2"/>
  <c r="V117" i="2"/>
  <c r="Q117" i="2"/>
  <c r="V116" i="2"/>
  <c r="U116" i="2"/>
  <c r="R116" i="2"/>
  <c r="Q116" i="2"/>
  <c r="K116" i="2"/>
  <c r="I116" i="2"/>
  <c r="V115" i="2"/>
  <c r="U115" i="2"/>
  <c r="R115" i="2"/>
  <c r="Q115" i="2"/>
  <c r="V114" i="2"/>
  <c r="Q114" i="2"/>
  <c r="V113" i="2"/>
  <c r="Q113" i="2"/>
  <c r="V112" i="2"/>
  <c r="U112" i="2"/>
  <c r="R112" i="2"/>
  <c r="Q112" i="2"/>
  <c r="K112" i="2"/>
  <c r="I112" i="2"/>
  <c r="V111" i="2"/>
  <c r="Q111" i="2"/>
  <c r="V110" i="2"/>
  <c r="Q110" i="2"/>
  <c r="V109" i="2"/>
  <c r="R109" i="2"/>
  <c r="Q109" i="2"/>
  <c r="K109" i="2"/>
  <c r="I109" i="2"/>
  <c r="V108" i="2"/>
  <c r="U108" i="2"/>
  <c r="Q108" i="2"/>
  <c r="V107" i="2"/>
  <c r="Q107" i="2"/>
  <c r="V106" i="2"/>
  <c r="Q106" i="2"/>
  <c r="V105" i="2"/>
  <c r="Q105" i="2"/>
  <c r="V104" i="2"/>
  <c r="U104" i="2"/>
  <c r="R104" i="2"/>
  <c r="Q104" i="2"/>
  <c r="K104" i="2"/>
  <c r="I104" i="2"/>
  <c r="V103" i="2"/>
  <c r="Q103" i="2"/>
  <c r="K103" i="2"/>
  <c r="J103" i="2"/>
  <c r="R103" i="2" s="1"/>
  <c r="I103" i="2"/>
  <c r="V102" i="2"/>
  <c r="U102" i="2"/>
  <c r="V101" i="2"/>
  <c r="R101" i="2"/>
  <c r="Q101" i="2"/>
  <c r="K101" i="2"/>
  <c r="J101" i="2"/>
  <c r="U101" i="2" s="1"/>
  <c r="I101" i="2"/>
  <c r="V100" i="2"/>
  <c r="U100" i="2"/>
  <c r="R100" i="2"/>
  <c r="Q100" i="2"/>
  <c r="V99" i="2"/>
  <c r="Q99" i="2"/>
  <c r="V98" i="2"/>
  <c r="Q98" i="2"/>
  <c r="V97" i="2"/>
  <c r="Q97" i="2"/>
  <c r="K97" i="2"/>
  <c r="J97" i="2"/>
  <c r="U97" i="2" s="1"/>
  <c r="I97" i="2"/>
  <c r="V96" i="2"/>
  <c r="Q96" i="2"/>
  <c r="K96" i="2"/>
  <c r="J96" i="2"/>
  <c r="R96" i="2" s="1"/>
  <c r="I96" i="2"/>
  <c r="V91" i="2"/>
  <c r="U91" i="2"/>
  <c r="V90" i="2"/>
  <c r="Q90" i="2"/>
  <c r="V89" i="2"/>
  <c r="Q89" i="2"/>
  <c r="K89" i="2"/>
  <c r="J89" i="2"/>
  <c r="R89" i="2" s="1"/>
  <c r="I89" i="2"/>
  <c r="V88" i="2"/>
  <c r="U88" i="2"/>
  <c r="R88" i="2"/>
  <c r="Q88" i="2"/>
  <c r="V87" i="2"/>
  <c r="Q87" i="2"/>
  <c r="V86" i="2"/>
  <c r="Q86" i="2"/>
  <c r="V85" i="2"/>
  <c r="Q85" i="2"/>
  <c r="K85" i="2"/>
  <c r="J85" i="2"/>
  <c r="U85" i="2" s="1"/>
  <c r="I85" i="2"/>
  <c r="V84" i="2"/>
  <c r="Q84" i="2"/>
  <c r="V83" i="2"/>
  <c r="Q83" i="2"/>
  <c r="V82" i="2"/>
  <c r="Q82" i="2"/>
  <c r="K82" i="2"/>
  <c r="I82" i="2"/>
  <c r="V81" i="2"/>
  <c r="U81" i="2"/>
  <c r="Q81" i="2"/>
  <c r="J81" i="2"/>
  <c r="R82" i="2" s="1"/>
  <c r="V80" i="2"/>
  <c r="Q80" i="2"/>
  <c r="V79" i="2"/>
  <c r="Q79" i="2"/>
  <c r="V78" i="2"/>
  <c r="Q78" i="2"/>
  <c r="V77" i="2"/>
  <c r="Q77" i="2"/>
  <c r="V76" i="2"/>
  <c r="R76" i="2"/>
  <c r="Q76" i="2"/>
  <c r="K76" i="2"/>
  <c r="J76" i="2"/>
  <c r="U76" i="2" s="1"/>
  <c r="I76" i="2"/>
  <c r="V75" i="2"/>
  <c r="Q75" i="2"/>
  <c r="K75" i="2"/>
  <c r="J75" i="2"/>
  <c r="U75" i="2" s="1"/>
  <c r="I75" i="2"/>
  <c r="V74" i="2"/>
  <c r="U74" i="2"/>
  <c r="V73" i="2"/>
  <c r="Q73" i="2"/>
  <c r="K73" i="2"/>
  <c r="J73" i="2"/>
  <c r="R73" i="2" s="1"/>
  <c r="I73" i="2"/>
  <c r="V72" i="2"/>
  <c r="U72" i="2"/>
  <c r="R72" i="2"/>
  <c r="Q72" i="2"/>
  <c r="V71" i="2"/>
  <c r="Q71" i="2"/>
  <c r="V70" i="2"/>
  <c r="Q70" i="2"/>
  <c r="V69" i="2"/>
  <c r="R69" i="2"/>
  <c r="Q69" i="2"/>
  <c r="K69" i="2"/>
  <c r="J69" i="2"/>
  <c r="U69" i="2" s="1"/>
  <c r="I69" i="2"/>
  <c r="V68" i="2"/>
  <c r="R68" i="2"/>
  <c r="Q68" i="2"/>
  <c r="K68" i="2"/>
  <c r="J68" i="2"/>
  <c r="U68" i="2" s="1"/>
  <c r="I68" i="2"/>
  <c r="V63" i="2"/>
  <c r="U63" i="2"/>
  <c r="V62" i="2"/>
  <c r="Q62" i="2"/>
  <c r="V61" i="2"/>
  <c r="Q61" i="2"/>
  <c r="K61" i="2"/>
  <c r="J61" i="2"/>
  <c r="U61" i="2" s="1"/>
  <c r="I61" i="2"/>
  <c r="V60" i="2"/>
  <c r="U60" i="2"/>
  <c r="R60" i="2"/>
  <c r="Q60" i="2"/>
  <c r="V59" i="2"/>
  <c r="Q59" i="2"/>
  <c r="V58" i="2"/>
  <c r="Q58" i="2"/>
  <c r="V57" i="2"/>
  <c r="Q57" i="2"/>
  <c r="K57" i="2"/>
  <c r="J57" i="2"/>
  <c r="R57" i="2" s="1"/>
  <c r="I57" i="2"/>
  <c r="V56" i="2"/>
  <c r="Q56" i="2"/>
  <c r="V55" i="2"/>
  <c r="Q55" i="2"/>
  <c r="V54" i="2"/>
  <c r="Q54" i="2"/>
  <c r="V53" i="2"/>
  <c r="Q53" i="2"/>
  <c r="K53" i="2"/>
  <c r="J53" i="2"/>
  <c r="U53" i="2" s="1"/>
  <c r="I53" i="2"/>
  <c r="V52" i="2"/>
  <c r="Q52" i="2"/>
  <c r="V51" i="2"/>
  <c r="Q51" i="2"/>
  <c r="V50" i="2"/>
  <c r="Q50" i="2"/>
  <c r="V49" i="2"/>
  <c r="Q49" i="2"/>
  <c r="V48" i="2"/>
  <c r="Q48" i="2"/>
  <c r="K48" i="2"/>
  <c r="J48" i="2"/>
  <c r="R48" i="2" s="1"/>
  <c r="I48" i="2"/>
  <c r="V47" i="2"/>
  <c r="R47" i="2"/>
  <c r="Q47" i="2"/>
  <c r="K47" i="2"/>
  <c r="J47" i="2"/>
  <c r="U47" i="2" s="1"/>
  <c r="I47" i="2"/>
  <c r="V46" i="2"/>
  <c r="U46" i="2"/>
  <c r="V45" i="2"/>
  <c r="Q45" i="2"/>
  <c r="K45" i="2"/>
  <c r="J45" i="2"/>
  <c r="U45" i="2" s="1"/>
  <c r="I45" i="2"/>
  <c r="V44" i="2"/>
  <c r="U44" i="2"/>
  <c r="R44" i="2"/>
  <c r="Q44" i="2"/>
  <c r="V43" i="2"/>
  <c r="Q43" i="2"/>
  <c r="V42" i="2"/>
  <c r="Q42" i="2"/>
  <c r="V41" i="2"/>
  <c r="Q41" i="2"/>
  <c r="K41" i="2"/>
  <c r="J41" i="2"/>
  <c r="R41" i="2" s="1"/>
  <c r="I41" i="2"/>
  <c r="V40" i="2"/>
  <c r="R40" i="2"/>
  <c r="Q40" i="2"/>
  <c r="K40" i="2"/>
  <c r="J40" i="2"/>
  <c r="U40" i="2" s="1"/>
  <c r="I40" i="2"/>
  <c r="V34" i="2"/>
  <c r="U34" i="2"/>
  <c r="V33" i="2"/>
  <c r="Q33" i="2"/>
  <c r="Q32" i="2"/>
  <c r="K32" i="2"/>
  <c r="J32" i="2"/>
  <c r="U32" i="2" s="1"/>
  <c r="I32" i="2"/>
  <c r="V31" i="2"/>
  <c r="U31" i="2"/>
  <c r="R31" i="2"/>
  <c r="Q31" i="2"/>
  <c r="Q30" i="2"/>
  <c r="V29" i="2"/>
  <c r="Q29" i="2"/>
  <c r="Q28" i="2"/>
  <c r="K28" i="2"/>
  <c r="J28" i="2"/>
  <c r="U28" i="2" s="1"/>
  <c r="I28" i="2"/>
  <c r="Q27" i="2"/>
  <c r="V26" i="2"/>
  <c r="Q26" i="2"/>
  <c r="Q25" i="2"/>
  <c r="Q24" i="2"/>
  <c r="K24" i="2"/>
  <c r="J24" i="2"/>
  <c r="U24" i="2" s="1"/>
  <c r="I24" i="2"/>
  <c r="Q23" i="2"/>
  <c r="Q22" i="2"/>
  <c r="V21" i="2"/>
  <c r="Q21" i="2"/>
  <c r="V20" i="2"/>
  <c r="Q20" i="2"/>
  <c r="K20" i="2"/>
  <c r="J20" i="2"/>
  <c r="R20" i="2" s="1"/>
  <c r="I20" i="2"/>
  <c r="V19" i="2"/>
  <c r="R19" i="2"/>
  <c r="Q19" i="2"/>
  <c r="K19" i="2"/>
  <c r="J19" i="2"/>
  <c r="U19" i="2" s="1"/>
  <c r="I19" i="2"/>
  <c r="V18" i="2"/>
  <c r="U18" i="2"/>
  <c r="V17" i="2"/>
  <c r="Q17" i="2"/>
  <c r="K17" i="2"/>
  <c r="J17" i="2"/>
  <c r="U17" i="2" s="1"/>
  <c r="I17" i="2"/>
  <c r="V16" i="2"/>
  <c r="U16" i="2"/>
  <c r="R16" i="2"/>
  <c r="Q16" i="2"/>
  <c r="V15" i="2"/>
  <c r="Q15" i="2"/>
  <c r="Q14" i="2"/>
  <c r="V13" i="2"/>
  <c r="Q13" i="2"/>
  <c r="K13" i="2"/>
  <c r="J13" i="2"/>
  <c r="U13" i="2" s="1"/>
  <c r="I13" i="2"/>
  <c r="V12" i="2"/>
  <c r="Q12" i="2"/>
  <c r="K12" i="2"/>
  <c r="J12" i="2"/>
  <c r="U12" i="2" s="1"/>
  <c r="I12" i="2"/>
  <c r="K261" i="1"/>
  <c r="J261" i="1"/>
  <c r="I261" i="1"/>
  <c r="K260" i="1"/>
  <c r="J260" i="1"/>
  <c r="I260" i="1"/>
  <c r="K259" i="1"/>
  <c r="J259" i="1"/>
  <c r="I259" i="1"/>
  <c r="K258" i="1"/>
  <c r="J258" i="1"/>
  <c r="I258" i="1"/>
  <c r="K257" i="1"/>
  <c r="J257" i="1"/>
  <c r="I257" i="1"/>
  <c r="K256" i="1"/>
  <c r="J256" i="1"/>
  <c r="I256" i="1"/>
  <c r="K255" i="1"/>
  <c r="J255" i="1"/>
  <c r="I255" i="1"/>
  <c r="K254" i="1"/>
  <c r="J254" i="1"/>
  <c r="I254" i="1"/>
  <c r="K253" i="1"/>
  <c r="J253" i="1"/>
  <c r="I253" i="1"/>
  <c r="K252" i="1"/>
  <c r="J252" i="1"/>
  <c r="I252" i="1"/>
  <c r="K251" i="1"/>
  <c r="J251" i="1"/>
  <c r="I251" i="1"/>
  <c r="K250" i="1"/>
  <c r="J250" i="1"/>
  <c r="I250" i="1"/>
  <c r="K246" i="1"/>
  <c r="J246" i="1"/>
  <c r="I246" i="1"/>
  <c r="K245" i="1"/>
  <c r="J245" i="1"/>
  <c r="I245" i="1"/>
  <c r="K244" i="1"/>
  <c r="J244" i="1"/>
  <c r="I244" i="1"/>
  <c r="K243" i="1"/>
  <c r="J243" i="1"/>
  <c r="I243" i="1"/>
  <c r="K242" i="1"/>
  <c r="J242" i="1"/>
  <c r="I242" i="1"/>
  <c r="K241" i="1"/>
  <c r="J241" i="1"/>
  <c r="I241" i="1"/>
  <c r="K240" i="1"/>
  <c r="J240" i="1"/>
  <c r="I240" i="1"/>
  <c r="K239" i="1"/>
  <c r="J239" i="1"/>
  <c r="I239" i="1"/>
  <c r="K238" i="1"/>
  <c r="J238" i="1"/>
  <c r="I238" i="1"/>
  <c r="K237" i="1"/>
  <c r="J237" i="1"/>
  <c r="I237" i="1"/>
  <c r="K233" i="1"/>
  <c r="J233" i="1"/>
  <c r="I233" i="1"/>
  <c r="K232" i="1"/>
  <c r="J232" i="1"/>
  <c r="I232" i="1"/>
  <c r="K231" i="1"/>
  <c r="J231" i="1"/>
  <c r="I231" i="1"/>
  <c r="K230" i="1"/>
  <c r="J230" i="1"/>
  <c r="I230" i="1"/>
  <c r="K229" i="1"/>
  <c r="J229" i="1"/>
  <c r="I229" i="1"/>
  <c r="K228" i="1"/>
  <c r="J228" i="1"/>
  <c r="I228" i="1"/>
  <c r="K227" i="1"/>
  <c r="J227" i="1"/>
  <c r="I227" i="1"/>
  <c r="K226" i="1"/>
  <c r="J226" i="1"/>
  <c r="I226" i="1"/>
  <c r="K225" i="1"/>
  <c r="J225" i="1"/>
  <c r="I225" i="1"/>
  <c r="K224" i="1"/>
  <c r="J224" i="1"/>
  <c r="I224" i="1"/>
  <c r="K223" i="1"/>
  <c r="J223" i="1"/>
  <c r="I223" i="1"/>
  <c r="K222" i="1"/>
  <c r="J222" i="1"/>
  <c r="I222" i="1"/>
  <c r="K218" i="1"/>
  <c r="J218" i="1"/>
  <c r="I218" i="1"/>
  <c r="K217" i="1"/>
  <c r="J217" i="1"/>
  <c r="I217" i="1"/>
  <c r="K216" i="1"/>
  <c r="J216" i="1"/>
  <c r="I216" i="1"/>
  <c r="K215" i="1"/>
  <c r="J215" i="1"/>
  <c r="I215" i="1"/>
  <c r="K214" i="1"/>
  <c r="J214" i="1"/>
  <c r="I214" i="1"/>
  <c r="K213" i="1"/>
  <c r="J213" i="1"/>
  <c r="K212" i="1"/>
  <c r="J212" i="1"/>
  <c r="K211" i="1"/>
  <c r="J211" i="1"/>
  <c r="K210" i="1"/>
  <c r="J210" i="1"/>
  <c r="K209" i="1"/>
  <c r="J209" i="1"/>
  <c r="I209" i="1"/>
  <c r="K205" i="1"/>
  <c r="J205" i="1"/>
  <c r="I205" i="1"/>
  <c r="K204" i="1"/>
  <c r="J204" i="1"/>
  <c r="I204" i="1"/>
  <c r="K203" i="1"/>
  <c r="J203" i="1"/>
  <c r="I203" i="1"/>
  <c r="K202" i="1"/>
  <c r="J202" i="1"/>
  <c r="I202" i="1"/>
  <c r="K201" i="1"/>
  <c r="J201" i="1"/>
  <c r="I201" i="1"/>
  <c r="K200" i="1"/>
  <c r="J200" i="1"/>
  <c r="I200" i="1"/>
  <c r="K199" i="1"/>
  <c r="J199" i="1"/>
  <c r="I199" i="1"/>
  <c r="K198" i="1"/>
  <c r="J198" i="1"/>
  <c r="I198" i="1"/>
  <c r="K197" i="1"/>
  <c r="J197" i="1"/>
  <c r="I197" i="1"/>
  <c r="K196" i="1"/>
  <c r="J196" i="1"/>
  <c r="I196" i="1"/>
  <c r="K195" i="1"/>
  <c r="J195" i="1"/>
  <c r="I195" i="1"/>
  <c r="K194" i="1"/>
  <c r="J194" i="1"/>
  <c r="I194" i="1"/>
  <c r="K190" i="1"/>
  <c r="J190" i="1"/>
  <c r="I190" i="1"/>
  <c r="K189" i="1"/>
  <c r="J189" i="1"/>
  <c r="I189" i="1"/>
  <c r="K188" i="1"/>
  <c r="J188" i="1"/>
  <c r="I188" i="1"/>
  <c r="K187" i="1"/>
  <c r="J187" i="1"/>
  <c r="I187" i="1"/>
  <c r="K186" i="1"/>
  <c r="J186" i="1"/>
  <c r="I186" i="1"/>
  <c r="K185" i="1"/>
  <c r="J185" i="1"/>
  <c r="I185" i="1"/>
  <c r="K184" i="1"/>
  <c r="J184" i="1"/>
  <c r="I184" i="1"/>
  <c r="K183" i="1"/>
  <c r="J183" i="1"/>
  <c r="I183" i="1"/>
  <c r="K182" i="1"/>
  <c r="J182" i="1"/>
  <c r="I182" i="1"/>
  <c r="K181" i="1"/>
  <c r="J181" i="1"/>
  <c r="I181" i="1"/>
  <c r="K177" i="1"/>
  <c r="J177" i="1"/>
  <c r="I177" i="1"/>
  <c r="K176" i="1"/>
  <c r="J176" i="1"/>
  <c r="I176" i="1"/>
  <c r="K175" i="1"/>
  <c r="J175" i="1"/>
  <c r="I175" i="1"/>
  <c r="K174" i="1"/>
  <c r="J174" i="1"/>
  <c r="I174" i="1"/>
  <c r="K173" i="1"/>
  <c r="J173" i="1"/>
  <c r="I173" i="1"/>
  <c r="K172" i="1"/>
  <c r="J172" i="1"/>
  <c r="I172" i="1"/>
  <c r="K171" i="1"/>
  <c r="J171" i="1"/>
  <c r="I171" i="1"/>
  <c r="K170" i="1"/>
  <c r="J170" i="1"/>
  <c r="I170" i="1"/>
  <c r="K169" i="1"/>
  <c r="J169" i="1"/>
  <c r="I169" i="1"/>
  <c r="K168" i="1"/>
  <c r="J168" i="1"/>
  <c r="I168" i="1"/>
  <c r="K167" i="1"/>
  <c r="J167" i="1"/>
  <c r="I167" i="1"/>
  <c r="K166" i="1"/>
  <c r="J166" i="1"/>
  <c r="I166" i="1"/>
  <c r="K162" i="1"/>
  <c r="J162" i="1"/>
  <c r="I162" i="1"/>
  <c r="K161" i="1"/>
  <c r="J161" i="1"/>
  <c r="I161" i="1"/>
  <c r="K160" i="1"/>
  <c r="J160" i="1"/>
  <c r="I160" i="1"/>
  <c r="K159" i="1"/>
  <c r="J159" i="1"/>
  <c r="I159" i="1"/>
  <c r="K158" i="1"/>
  <c r="J158" i="1"/>
  <c r="I158" i="1"/>
  <c r="K157" i="1"/>
  <c r="J157" i="1"/>
  <c r="I157" i="1"/>
  <c r="K156" i="1"/>
  <c r="J156" i="1"/>
  <c r="I156" i="1"/>
  <c r="K155" i="1"/>
  <c r="J155" i="1"/>
  <c r="I155" i="1"/>
  <c r="K154" i="1"/>
  <c r="J154" i="1"/>
  <c r="I154" i="1"/>
  <c r="K153" i="1"/>
  <c r="J153" i="1"/>
  <c r="I153" i="1"/>
  <c r="K149" i="1"/>
  <c r="J149" i="1"/>
  <c r="I149" i="1"/>
  <c r="K148" i="1"/>
  <c r="J148" i="1"/>
  <c r="I148" i="1"/>
  <c r="K147" i="1"/>
  <c r="J147" i="1"/>
  <c r="I147" i="1"/>
  <c r="K146" i="1"/>
  <c r="J146" i="1"/>
  <c r="I146" i="1"/>
  <c r="K145" i="1"/>
  <c r="J145" i="1"/>
  <c r="I145" i="1"/>
  <c r="K144" i="1"/>
  <c r="J144" i="1"/>
  <c r="I144" i="1"/>
  <c r="K143" i="1"/>
  <c r="J143" i="1"/>
  <c r="I143" i="1"/>
  <c r="K142" i="1"/>
  <c r="J142" i="1"/>
  <c r="I142" i="1"/>
  <c r="K141" i="1"/>
  <c r="J141" i="1"/>
  <c r="I141" i="1"/>
  <c r="K140" i="1"/>
  <c r="J140" i="1"/>
  <c r="I140" i="1"/>
  <c r="K139" i="1"/>
  <c r="J139" i="1"/>
  <c r="I139" i="1"/>
  <c r="K138" i="1"/>
  <c r="J138" i="1"/>
  <c r="I138" i="1"/>
  <c r="K134" i="1"/>
  <c r="J134" i="1"/>
  <c r="I134" i="1"/>
  <c r="K133" i="1"/>
  <c r="J133" i="1"/>
  <c r="I133" i="1"/>
  <c r="K132" i="1"/>
  <c r="J132" i="1"/>
  <c r="I132" i="1"/>
  <c r="K131" i="1"/>
  <c r="J131" i="1"/>
  <c r="I131" i="1"/>
  <c r="K130" i="1"/>
  <c r="J130" i="1"/>
  <c r="I130" i="1"/>
  <c r="K129" i="1"/>
  <c r="J129" i="1"/>
  <c r="I129" i="1"/>
  <c r="K128" i="1"/>
  <c r="J128" i="1"/>
  <c r="I128" i="1"/>
  <c r="K127" i="1"/>
  <c r="J127" i="1"/>
  <c r="I127" i="1"/>
  <c r="K126" i="1"/>
  <c r="J126" i="1"/>
  <c r="I126" i="1"/>
  <c r="K125" i="1"/>
  <c r="J125" i="1"/>
  <c r="I125" i="1"/>
  <c r="K121" i="1"/>
  <c r="J121" i="1"/>
  <c r="I121" i="1"/>
  <c r="K120" i="1"/>
  <c r="J120" i="1"/>
  <c r="I120" i="1"/>
  <c r="K119" i="1"/>
  <c r="J119" i="1"/>
  <c r="I119" i="1"/>
  <c r="K118" i="1"/>
  <c r="J118" i="1"/>
  <c r="I118" i="1"/>
  <c r="K117" i="1"/>
  <c r="J117" i="1"/>
  <c r="I117" i="1"/>
  <c r="K116" i="1"/>
  <c r="J116" i="1"/>
  <c r="I116" i="1"/>
  <c r="K115" i="1"/>
  <c r="J115" i="1"/>
  <c r="I115" i="1"/>
  <c r="K114" i="1"/>
  <c r="J114" i="1"/>
  <c r="I114" i="1"/>
  <c r="K113" i="1"/>
  <c r="J113" i="1"/>
  <c r="I113" i="1"/>
  <c r="K112" i="1"/>
  <c r="J112" i="1"/>
  <c r="I112" i="1"/>
  <c r="K111" i="1"/>
  <c r="J111" i="1"/>
  <c r="I111" i="1"/>
  <c r="K110" i="1"/>
  <c r="J110" i="1"/>
  <c r="I110" i="1"/>
  <c r="K106" i="1"/>
  <c r="J106" i="1"/>
  <c r="I106" i="1"/>
  <c r="K105" i="1"/>
  <c r="J105" i="1"/>
  <c r="I105" i="1"/>
  <c r="K104" i="1"/>
  <c r="J104" i="1"/>
  <c r="I104" i="1"/>
  <c r="K103" i="1"/>
  <c r="J103" i="1"/>
  <c r="I103" i="1"/>
  <c r="K102" i="1"/>
  <c r="J102" i="1"/>
  <c r="I102" i="1"/>
  <c r="K101" i="1"/>
  <c r="J101" i="1"/>
  <c r="I101" i="1"/>
  <c r="K100" i="1"/>
  <c r="J100" i="1"/>
  <c r="I100" i="1"/>
  <c r="K99" i="1"/>
  <c r="J99" i="1"/>
  <c r="I99" i="1"/>
  <c r="K98" i="1"/>
  <c r="J98" i="1"/>
  <c r="I98" i="1"/>
  <c r="K97" i="1"/>
  <c r="J97" i="1"/>
  <c r="I97" i="1"/>
  <c r="K93" i="1"/>
  <c r="J93" i="1"/>
  <c r="I93" i="1"/>
  <c r="K92" i="1"/>
  <c r="J92" i="1"/>
  <c r="I92" i="1"/>
  <c r="K91" i="1"/>
  <c r="J91" i="1"/>
  <c r="I91" i="1"/>
  <c r="K90" i="1"/>
  <c r="J90" i="1"/>
  <c r="I90" i="1"/>
  <c r="K89" i="1"/>
  <c r="J89" i="1"/>
  <c r="I89" i="1"/>
  <c r="K88" i="1"/>
  <c r="J88" i="1"/>
  <c r="I88" i="1"/>
  <c r="K87" i="1"/>
  <c r="J87" i="1"/>
  <c r="I87" i="1"/>
  <c r="K86" i="1"/>
  <c r="J86" i="1"/>
  <c r="I86" i="1"/>
  <c r="K85" i="1"/>
  <c r="J85" i="1"/>
  <c r="I85" i="1"/>
  <c r="K84" i="1"/>
  <c r="J84" i="1"/>
  <c r="I84" i="1"/>
  <c r="K83" i="1"/>
  <c r="J83" i="1"/>
  <c r="I83" i="1"/>
  <c r="K82" i="1"/>
  <c r="J82" i="1"/>
  <c r="I82" i="1"/>
  <c r="K78" i="1"/>
  <c r="J78" i="1"/>
  <c r="I78" i="1"/>
  <c r="K77" i="1"/>
  <c r="J77" i="1"/>
  <c r="I77" i="1"/>
  <c r="K76" i="1"/>
  <c r="J76" i="1"/>
  <c r="I76" i="1"/>
  <c r="K75" i="1"/>
  <c r="J75" i="1"/>
  <c r="I75" i="1"/>
  <c r="K74" i="1"/>
  <c r="J74" i="1"/>
  <c r="I74" i="1"/>
  <c r="K73" i="1"/>
  <c r="J73" i="1"/>
  <c r="I73" i="1"/>
  <c r="K72" i="1"/>
  <c r="J72" i="1"/>
  <c r="I72" i="1"/>
  <c r="K71" i="1"/>
  <c r="J71" i="1"/>
  <c r="I71" i="1"/>
  <c r="K70" i="1"/>
  <c r="J70" i="1"/>
  <c r="I70" i="1"/>
  <c r="K69" i="1"/>
  <c r="J69" i="1"/>
  <c r="I69" i="1"/>
  <c r="K65" i="1"/>
  <c r="J65" i="1"/>
  <c r="I65" i="1"/>
  <c r="K64" i="1"/>
  <c r="J64" i="1"/>
  <c r="I64" i="1"/>
  <c r="K63" i="1"/>
  <c r="J63" i="1"/>
  <c r="I63" i="1"/>
  <c r="K62" i="1"/>
  <c r="J62" i="1"/>
  <c r="I62" i="1"/>
  <c r="K61" i="1"/>
  <c r="J61" i="1"/>
  <c r="I61" i="1"/>
  <c r="K60" i="1"/>
  <c r="J60" i="1"/>
  <c r="I60" i="1"/>
  <c r="K59" i="1"/>
  <c r="J59" i="1"/>
  <c r="I59" i="1"/>
  <c r="K58" i="1"/>
  <c r="J58" i="1"/>
  <c r="I58" i="1"/>
  <c r="K57" i="1"/>
  <c r="J57" i="1"/>
  <c r="I57" i="1"/>
  <c r="K56" i="1"/>
  <c r="J56" i="1"/>
  <c r="I56" i="1"/>
  <c r="K55" i="1"/>
  <c r="J55" i="1"/>
  <c r="I55" i="1"/>
  <c r="K54" i="1"/>
  <c r="J54" i="1"/>
  <c r="I54" i="1"/>
  <c r="K50" i="1"/>
  <c r="J50" i="1"/>
  <c r="I50" i="1"/>
  <c r="K49" i="1"/>
  <c r="J49" i="1"/>
  <c r="I49" i="1"/>
  <c r="K48" i="1"/>
  <c r="J48" i="1"/>
  <c r="I48" i="1"/>
  <c r="K47" i="1"/>
  <c r="J47" i="1"/>
  <c r="I47" i="1"/>
  <c r="K46" i="1"/>
  <c r="J46" i="1"/>
  <c r="I46" i="1"/>
  <c r="K45" i="1"/>
  <c r="J45" i="1"/>
  <c r="I45" i="1"/>
  <c r="K44" i="1"/>
  <c r="J44" i="1"/>
  <c r="I44" i="1"/>
  <c r="K43" i="1"/>
  <c r="J43" i="1"/>
  <c r="I43" i="1"/>
  <c r="K42" i="1"/>
  <c r="J42" i="1"/>
  <c r="I42" i="1"/>
  <c r="K41" i="1"/>
  <c r="J41" i="1"/>
  <c r="I41" i="1"/>
  <c r="K37" i="1"/>
  <c r="J37" i="1"/>
  <c r="I37" i="1"/>
  <c r="K36" i="1"/>
  <c r="J36" i="1"/>
  <c r="I36" i="1"/>
  <c r="K35" i="1"/>
  <c r="J35" i="1"/>
  <c r="I35" i="1"/>
  <c r="K34" i="1"/>
  <c r="J34" i="1"/>
  <c r="I34" i="1"/>
  <c r="K33" i="1"/>
  <c r="J33" i="1"/>
  <c r="I33" i="1"/>
  <c r="K32" i="1"/>
  <c r="J32" i="1"/>
  <c r="I32" i="1"/>
  <c r="K31" i="1"/>
  <c r="J31" i="1"/>
  <c r="I31" i="1"/>
  <c r="K30" i="1"/>
  <c r="J30" i="1"/>
  <c r="I30" i="1"/>
  <c r="K29" i="1"/>
  <c r="J29" i="1"/>
  <c r="I29" i="1"/>
  <c r="K28" i="1"/>
  <c r="J28" i="1"/>
  <c r="I28" i="1"/>
  <c r="K27" i="1"/>
  <c r="J27" i="1"/>
  <c r="I27" i="1"/>
  <c r="K26" i="1"/>
  <c r="J26" i="1"/>
  <c r="I26" i="1"/>
  <c r="K22" i="1"/>
  <c r="J22" i="1"/>
  <c r="I22" i="1"/>
  <c r="K21" i="1"/>
  <c r="J21" i="1"/>
  <c r="I21" i="1"/>
  <c r="K20" i="1"/>
  <c r="J20" i="1"/>
  <c r="I20" i="1"/>
  <c r="K19" i="1"/>
  <c r="J19" i="1"/>
  <c r="I19" i="1"/>
  <c r="K18" i="1"/>
  <c r="J18" i="1"/>
  <c r="I18" i="1"/>
  <c r="K17" i="1"/>
  <c r="J17" i="1"/>
  <c r="I17" i="1"/>
  <c r="K16" i="1"/>
  <c r="J16" i="1"/>
  <c r="I16" i="1"/>
  <c r="K15" i="1"/>
  <c r="J15" i="1"/>
  <c r="I15" i="1"/>
  <c r="K14" i="1"/>
  <c r="J14" i="1"/>
  <c r="I14" i="1"/>
  <c r="K13" i="1"/>
  <c r="J13" i="1"/>
  <c r="I13" i="1"/>
  <c r="R193" i="2" l="1"/>
  <c r="R158" i="2"/>
  <c r="R12" i="2"/>
  <c r="R28" i="2"/>
  <c r="R32" i="2"/>
  <c r="R131" i="2"/>
  <c r="R137" i="2"/>
  <c r="R151" i="2"/>
  <c r="R168" i="2"/>
  <c r="R200" i="2"/>
  <c r="R13" i="2"/>
  <c r="R159" i="2"/>
  <c r="U164" i="2"/>
  <c r="R207" i="2"/>
  <c r="R75" i="2"/>
  <c r="R85" i="2"/>
  <c r="R128" i="2"/>
  <c r="R144" i="2"/>
  <c r="R152" i="2"/>
  <c r="R212" i="2"/>
  <c r="R215" i="2"/>
  <c r="R255" i="2"/>
  <c r="U20" i="2"/>
  <c r="U89" i="2"/>
  <c r="U123" i="2"/>
  <c r="U130" i="2"/>
  <c r="U156" i="2"/>
  <c r="U186" i="2"/>
  <c r="U236" i="2"/>
  <c r="U48" i="2"/>
  <c r="U96" i="2"/>
  <c r="U103" i="2"/>
  <c r="U179" i="2"/>
  <c r="U208" i="2"/>
  <c r="R17" i="2"/>
  <c r="R24" i="2"/>
  <c r="R45" i="2"/>
  <c r="R53" i="2"/>
  <c r="R61" i="2"/>
  <c r="R97" i="2"/>
  <c r="R124" i="2"/>
  <c r="R140" i="2"/>
  <c r="R180" i="2"/>
  <c r="R187" i="2"/>
  <c r="R196" i="2"/>
  <c r="R214" i="2"/>
  <c r="U220" i="2"/>
  <c r="R240" i="2"/>
  <c r="U247" i="2"/>
  <c r="U41" i="2"/>
  <c r="U57" i="2"/>
  <c r="U73" i="2"/>
  <c r="U172" i="2"/>
  <c r="U243" i="2"/>
</calcChain>
</file>

<file path=xl/sharedStrings.xml><?xml version="1.0" encoding="utf-8"?>
<sst xmlns="http://schemas.openxmlformats.org/spreadsheetml/2006/main" count="2227" uniqueCount="331">
  <si>
    <t>Формула 2021 СС= БС*КЗ*((1-ДЗП)+ДЗП*ПК*КД) (ПК= КС*КУС*КСЛП)</t>
  </si>
  <si>
    <r>
      <rPr>
        <b/>
        <sz val="11"/>
        <color theme="1"/>
        <rFont val="Calibri"/>
        <family val="2"/>
        <charset val="204"/>
        <scheme val="minor"/>
      </rPr>
      <t>Формула 2022 СС</t>
    </r>
    <r>
      <rPr>
        <b/>
        <vertAlign val="subscript"/>
        <sz val="11"/>
        <color theme="1"/>
        <rFont val="Calibri"/>
        <family val="2"/>
        <charset val="204"/>
        <scheme val="minor"/>
      </rPr>
      <t>КСГ</t>
    </r>
    <r>
      <rPr>
        <b/>
        <sz val="11"/>
        <color theme="1"/>
        <rFont val="Calibri"/>
        <family val="2"/>
        <charset val="204"/>
        <scheme val="minor"/>
      </rPr>
      <t xml:space="preserve"> = БС x КЗ</t>
    </r>
    <r>
      <rPr>
        <b/>
        <vertAlign val="subscript"/>
        <sz val="11"/>
        <color theme="1"/>
        <rFont val="Calibri"/>
        <family val="2"/>
        <charset val="204"/>
        <scheme val="minor"/>
      </rPr>
      <t>КСГ</t>
    </r>
    <r>
      <rPr>
        <b/>
        <sz val="11"/>
        <color theme="1"/>
        <rFont val="Calibri"/>
        <family val="2"/>
        <charset val="204"/>
        <scheme val="minor"/>
      </rPr>
      <t xml:space="preserve"> x ((1 - Д</t>
    </r>
    <r>
      <rPr>
        <b/>
        <vertAlign val="subscript"/>
        <sz val="11"/>
        <color theme="1"/>
        <rFont val="Calibri"/>
        <family val="2"/>
        <charset val="204"/>
        <scheme val="minor"/>
      </rPr>
      <t>ЗП</t>
    </r>
    <r>
      <rPr>
        <b/>
        <sz val="11"/>
        <color theme="1"/>
        <rFont val="Calibri"/>
        <family val="2"/>
        <charset val="204"/>
        <scheme val="minor"/>
      </rPr>
      <t>) + Д</t>
    </r>
    <r>
      <rPr>
        <b/>
        <vertAlign val="subscript"/>
        <sz val="11"/>
        <color theme="1"/>
        <rFont val="Calibri"/>
        <family val="2"/>
        <charset val="204"/>
        <scheme val="minor"/>
      </rPr>
      <t>ЗП</t>
    </r>
    <r>
      <rPr>
        <b/>
        <sz val="11"/>
        <color theme="1"/>
        <rFont val="Calibri"/>
        <family val="2"/>
        <charset val="204"/>
        <scheme val="minor"/>
      </rPr>
      <t xml:space="preserve"> x КС</t>
    </r>
    <r>
      <rPr>
        <b/>
        <vertAlign val="subscript"/>
        <sz val="11"/>
        <color theme="1"/>
        <rFont val="Calibri"/>
        <family val="2"/>
        <charset val="204"/>
        <scheme val="minor"/>
      </rPr>
      <t>КСГ</t>
    </r>
    <r>
      <rPr>
        <b/>
        <sz val="11"/>
        <color theme="1"/>
        <rFont val="Calibri"/>
        <family val="2"/>
        <charset val="204"/>
        <scheme val="minor"/>
      </rPr>
      <t xml:space="preserve"> x КУС</t>
    </r>
    <r>
      <rPr>
        <b/>
        <vertAlign val="subscript"/>
        <sz val="11"/>
        <color theme="1"/>
        <rFont val="Calibri"/>
        <family val="2"/>
        <charset val="204"/>
        <scheme val="minor"/>
      </rPr>
      <t>МО</t>
    </r>
    <r>
      <rPr>
        <b/>
        <sz val="11"/>
        <color theme="1"/>
        <rFont val="Calibri"/>
        <family val="2"/>
        <charset val="204"/>
        <scheme val="minor"/>
      </rPr>
      <t xml:space="preserve"> x КД) + БС x КД x КСЛП (при БС x КД x КСЛП = 0)</t>
    </r>
  </si>
  <si>
    <t>СС - стоимость случая лечения</t>
  </si>
  <si>
    <t>БС - размер средней стоимости законченного случая лечения без учета коэффициента дифференциации (базовая ставка), рублей</t>
  </si>
  <si>
    <t xml:space="preserve">КЗ - коэффициент относительной затратоемкости по КСГ или КПГ, к которой отнесен данный случай госпитализации </t>
  </si>
  <si>
    <t xml:space="preserve">ДЗП - доля заработной платы и прочих расходов в структуре стоимости КСГ (установленное Приложением 3 к Программе значение, к которому применяется  КД); </t>
  </si>
  <si>
    <t>ПК  - поправочный коэффициент оплаты КСГ или КПГ (интегрированный коэффициент, рассчитываемый на региональном уровне)</t>
  </si>
  <si>
    <t>КД -коэффициент дифференциации, рассчитанный в соответствии с Постановлением № 462</t>
  </si>
  <si>
    <t>ТАМБОВСКАЯ ОБЛАСТЬ 2021</t>
  </si>
  <si>
    <t>ГБУЗ "ТООКД" (МО 2 уровня, 2 подуровня в КС и ДС) - коэффициент уровня (подуровня МО) 1 в КС и ДС</t>
  </si>
  <si>
    <t>Базовая ставка БС (размер средней стоимости законченного случая лечения)</t>
  </si>
  <si>
    <t>Коэффициент относительной затратоемкости (КЗ)</t>
  </si>
  <si>
    <t>Доля заработной платы и прочих расходов в структуре стоимости КСГ (ДЗП), %</t>
  </si>
  <si>
    <t>Поправочный коэффициент</t>
  </si>
  <si>
    <t xml:space="preserve">Коэффициент дифференциации </t>
  </si>
  <si>
    <t>MIN СС по КСГ при КСЛП = 1, руб.</t>
  </si>
  <si>
    <t>Стоимость случая при коэффициентах уровня МО, равных 1 в КС и ДС, коэффициенте дифференциации 1, руб.</t>
  </si>
  <si>
    <t>MАХ СС по КСГ при КСЛП = 1, руб.</t>
  </si>
  <si>
    <t xml:space="preserve">Коэффициент специфики оказания МП </t>
  </si>
  <si>
    <t xml:space="preserve">Коэффициент уровня (подуровня МО) </t>
  </si>
  <si>
    <t>Коэффициент сложности лечения пациента (КСЛП) (не учитывается ввиду редкого применения)</t>
  </si>
  <si>
    <t>st19.068</t>
  </si>
  <si>
    <t>1/1,1/1,16/1,2</t>
  </si>
  <si>
    <t>st19.071</t>
  </si>
  <si>
    <t>st19.072</t>
  </si>
  <si>
    <t xml:space="preserve"> </t>
  </si>
  <si>
    <t>st19.073</t>
  </si>
  <si>
    <t>st19.074</t>
  </si>
  <si>
    <t>ds19.044</t>
  </si>
  <si>
    <t>ds19.046</t>
  </si>
  <si>
    <t>ds19.047</t>
  </si>
  <si>
    <t>ds19.048</t>
  </si>
  <si>
    <t>ds19.049</t>
  </si>
  <si>
    <t>ТАМБОВСКАЯ ОБЛАСТЬ 2022</t>
  </si>
  <si>
    <t>st19.113</t>
  </si>
  <si>
    <t>1/1,1/1,15/1,2</t>
  </si>
  <si>
    <t>st19.117</t>
  </si>
  <si>
    <t>st19.118</t>
  </si>
  <si>
    <t>st19.119</t>
  </si>
  <si>
    <t>st19.120</t>
  </si>
  <si>
    <t>st19.121</t>
  </si>
  <si>
    <t>ds19.088</t>
  </si>
  <si>
    <t>ds19.089</t>
  </si>
  <si>
    <t>ds19.091</t>
  </si>
  <si>
    <t>ds19.092</t>
  </si>
  <si>
    <t>ds19.094</t>
  </si>
  <si>
    <t>ds19.096</t>
  </si>
  <si>
    <t>ТВЕРСКАЯ ОБЛАСТЬ 2021</t>
  </si>
  <si>
    <t>ГБУЗ "ТОКОД" (МО 3 уровня, 2 подуровня в КС, МО 3 уровня в ДС) - коэффициент уровня (подуровня МО) 1,35 в КС, 1 в ДС</t>
  </si>
  <si>
    <t>Коэффициент дифференциации</t>
  </si>
  <si>
    <t>Стоимость случая при коэффициентах уровня МО, равных 1,35 (в КС), 1 (в ДС), коэффициенте дифференциации 1, руб.</t>
  </si>
  <si>
    <t>Коэффициент специфики оказания МП</t>
  </si>
  <si>
    <t>Коэффициент уровня (подуровня МО)</t>
  </si>
  <si>
    <t>0,8/0,9/0,945/0,95/0,97/1/1,05/1,1/1,35</t>
  </si>
  <si>
    <t>ТВЕРСКАЯ ОБЛАСТЬ 2022</t>
  </si>
  <si>
    <t>ТОМСКАЯ ОБЛАСТЬ 2021</t>
  </si>
  <si>
    <t>ОГАУЗ "ТООД" (онкология) (МО 3 уровня, 3б подуровня в КС, МО 3 уровня в ДС) - коэффициент уровня (подуровня МО) 1,4 в КС и ДС, коэффициент дифференциации 1,278</t>
  </si>
  <si>
    <t>Стоимость случая при коэффициентах уровня МО, равных 1,4, коэффициенте дифференциации 1,278, руб.</t>
  </si>
  <si>
    <t>0,8/0,9/0,95/1/1,1/1,15/1,2/1,4</t>
  </si>
  <si>
    <t>1-2,135</t>
  </si>
  <si>
    <t>1/1,2/1,4</t>
  </si>
  <si>
    <t>ТОМСКАЯ ОБЛАСТЬ 2022</t>
  </si>
  <si>
    <t>ОГАУЗ "ТООД" (онкология) (МО 3 уровня, 3в подуровня в КС, МО 3 уровня в ДС) - коэффициент уровня (подуровня МО) 1,4 в КС и ДС, коэффициент дифференциации 1,283</t>
  </si>
  <si>
    <t>Стоимость случая при коэффициентах уровня МО, равных 1,4, коэффициенте дифференциации 1,283, руб.</t>
  </si>
  <si>
    <t>0,8/0,9/1/1,05/1,1/1,2/1,3/1,4</t>
  </si>
  <si>
    <t>1,255-1,836</t>
  </si>
  <si>
    <t>ТУЛЬСКАЯ ОБЛАСТЬ 2021</t>
  </si>
  <si>
    <t>ГУЗ "Тульский областной онкологический диспансер" (МО 3 уровня, В подуровня в КС, МО 2 уровня в ДС) - коэффициент уровня (подуровня МО) 1,25 в КС, 1 в ДС (для всех МО в Тульской области)</t>
  </si>
  <si>
    <t>Стоимость случая при коэффициентах уровня МО, равном 1,25 (в КС), 1 (в ДС), коэффициенте дифференциации 1, руб.</t>
  </si>
  <si>
    <t>0,9/1,05/1,25</t>
  </si>
  <si>
    <t>ТУЛЬСКАЯ ОБЛАСТЬ 2022</t>
  </si>
  <si>
    <t>ГУЗ "Тульский областной онкологический диспансер" (МО 3 уровня, Г подуровня в КС, МО 2 уровня в ДС) - коэффициент уровня (подуровня МО) 1,25 в КС, 1 в ДС (для всех МО в Тульской области)</t>
  </si>
  <si>
    <t>0,8/0,899/0,9/0,9077/0,931/1/1,0175/1,13/1,134/1,185/1,2/1,23/1,25/1,3615</t>
  </si>
  <si>
    <t>УДМУРТСКАЯ РЕСПУБЛИКА 2021</t>
  </si>
  <si>
    <t>БУЗ УР "РКОД им. С.Г. Примушко МЗ УР" (профиль: онкология) (МО 3 уровня, В подуровня в КС, МО 2 уровня в ДС) - коэффициент уровня (подуровня МО) 1,28 в КС, 1 в ДС (для всех МО в Удмуртской республике)</t>
  </si>
  <si>
    <t>Стоимость случая при коэффициентах уровня МО, равных 1,28 (в КС), 1 (в ДС), коэффициенте дифференциации 1,105, руб.</t>
  </si>
  <si>
    <t xml:space="preserve">Коэффициент уровня (подуровня МО), </t>
  </si>
  <si>
    <t>0,9/1/1,08/1,1/1,2/1,28</t>
  </si>
  <si>
    <t>УДМУРТСКАЯ РЕСПУБЛИКА 2022</t>
  </si>
  <si>
    <t>0,9/1,03/1,07/1,1/1,23/1,28</t>
  </si>
  <si>
    <t>ХАБАРОВСКИЙ КРАЙ 2021</t>
  </si>
  <si>
    <t>Краевое государственное бюджетное учреждение здравоохранения "Онкологический диспансер" министерства здравоохранения Хабаровского края (МО 3 уровня, 3.3 подуровня в КС) - коэффициент уровня (подуровня МО) 1,4 в КС, 1 в ДС  (для всех МО в Хабаровском крае), коэффициент дифференциации 1,68</t>
  </si>
  <si>
    <t>Стоимость случая при коэффициентах уровня МО, равных 1,4 (в КС), 1 (в ДС),  коэффициенте дифференциации 1,68, руб</t>
  </si>
  <si>
    <t>0,8/0,9/1/1,1/1,2/1,231/1,4</t>
  </si>
  <si>
    <t>1,4/1,68/2,23/2,57</t>
  </si>
  <si>
    <t>ХАБАРОВСКИЙ КРАЙ 2022</t>
  </si>
  <si>
    <t>ЧЕЛЯБИНСКАЯ ОБЛАСТЬ 2021</t>
  </si>
  <si>
    <t>Государственное бюджетное учреждение здравоохранения "Областной онкологический диспансер № 2" (МО 3 уровня, 3.1 подуровня в КС) - коэффициент уровня (подуровня МО) 1,1 в КС, 1 в ДС (коэффициент уровня (подуровня МО) в Челябинской области в ДС не применяется), коэффициент дифференциации 1,113 (КС), 1,105 (ДС)</t>
  </si>
  <si>
    <t>Стоимость случая при коэффициентах уровня МО, равных 1,1 (в КС), 1 (в ДС), коэффициенте дифференциации 1,113 (КС), 1,105 (ДС), руб</t>
  </si>
  <si>
    <t>0,8/0,9/1,0/1,1/1,15</t>
  </si>
  <si>
    <t>1,105/1,14/1,21</t>
  </si>
  <si>
    <t>ЧЕЛЯБИНСКАЯ ОБЛАСТЬ 2022</t>
  </si>
  <si>
    <t>0,9/1/1,1/1,13/1,18/1,2</t>
  </si>
  <si>
    <t>ЧУВАШСКАЯ РЕСПУБЛИКА 2021</t>
  </si>
  <si>
    <t xml:space="preserve">АУ "Республиканский клинический онкологический диспансер" Минздрава Чувашии (МО 3 уровня, 2 подуровня в КС и ДС) - коэффициент уровня (подуровня МО) 1,15 в КС, 1,3 в ДС </t>
  </si>
  <si>
    <t>Стоимость случая при коэффициентах уровня МО, равных 1,15 (в КС), 1,3 (в ДС),  коэффициенте дифференциации 1, руб.</t>
  </si>
  <si>
    <t>0,9/0,97/1,0/1,1/1,15</t>
  </si>
  <si>
    <t>0,9/0,955/1,0/1,1/1,3</t>
  </si>
  <si>
    <t>ЧУВАШСКАЯ РЕСПУБЛИКА 2022</t>
  </si>
  <si>
    <t xml:space="preserve">АУ "Республиканский клинический онкологический диспансер" Минздрава Чувашии (МО 3 уровня, 2 подуровня в КС и ДС) - коэффициент уровня (подуровня МО) 1,15 в КС и ДС </t>
  </si>
  <si>
    <t>Стоимость случая при коэффициентах уровня МО, равных 1,15 (в КС), 1,15 (в ДС),  коэффициенте дифференциации 1, руб.</t>
  </si>
  <si>
    <t>0,9/0,97/1/1,1/1,15</t>
  </si>
  <si>
    <t>0,9/0,955/1/1,1/1,15/1,2405</t>
  </si>
  <si>
    <t>ЯРОСЛАВСКАЯ ОБЛАСТЬ 2021</t>
  </si>
  <si>
    <t>ГБУЗ ЯО "Клиническая онкологическая больница" (МО 3 уровня, 3.2 подуровня в КС ) - коэффициент уровня (подуровня МО) 1,12 в КС, 1 в ДС  (для всех МО в Ярославской области)</t>
  </si>
  <si>
    <t>Стоимость случая при коэффициентах уровня МО, равных 1,12 (в КС), 1 (в ДС), коэффициенте дифференциации 1, руб.</t>
  </si>
  <si>
    <t>0,9/1,044/1,1/1,12</t>
  </si>
  <si>
    <t>ЯРОСЛАВСКАЯ ОБЛАСТЬ 2022</t>
  </si>
  <si>
    <t xml:space="preserve">Формула </t>
  </si>
  <si>
    <t>СС= БС*КЗ*((1-ДЗП)+ДЗП*ПК*КД)</t>
  </si>
  <si>
    <t xml:space="preserve">КЗ -коэффициент относительной затратоемкости по КСГ или КПГ, к которой отнесен данный случай госпитализации </t>
  </si>
  <si>
    <t>ТАМБОВСКАЯ ОБЛАСТЬ</t>
  </si>
  <si>
    <t>КСГ в 2021 году</t>
  </si>
  <si>
    <t>Коэффициент дефференциации (не применяется в формуле в ТС)</t>
  </si>
  <si>
    <t>Стоимость случая в 2021 году, руб.</t>
  </si>
  <si>
    <t>КСГ в 2022 году</t>
  </si>
  <si>
    <t>Стоимость случая в 2022 году, руб.</t>
  </si>
  <si>
    <t>Схемы лечения</t>
  </si>
  <si>
    <t>Наименование препарата, лечение</t>
  </si>
  <si>
    <t>Количество дней введения в тарифе</t>
  </si>
  <si>
    <t xml:space="preserve">Стоимость препаратов в схеме лечения, руб. </t>
  </si>
  <si>
    <t>Разница стоимости случая по КСГ за вычетом стоимости КСГ за введение препарата, руб</t>
  </si>
  <si>
    <t>ДЗП в 2021 году</t>
  </si>
  <si>
    <t>ДЗП в 2022 году</t>
  </si>
  <si>
    <r>
      <rPr>
        <sz val="11"/>
        <rFont val="Calibri"/>
        <family val="2"/>
        <charset val="204"/>
        <scheme val="minor"/>
      </rPr>
      <t>Разность</t>
    </r>
    <r>
      <rPr>
        <sz val="11"/>
        <color theme="1"/>
        <rFont val="Calibri"/>
        <family val="2"/>
        <scheme val="minor"/>
      </rPr>
      <t xml:space="preserve"> стоимости случая по КСГ и доли заработной платы и прочих расходов в 2021 году, руб.</t>
    </r>
  </si>
  <si>
    <t>Разность стоимости случая по КСГ и доли заработной платы и прочих расходов в 2022 году, руб.</t>
  </si>
  <si>
    <t>Коэффициент специфики оказания МП ( в формуле в ТС нет, в таблицах ТС равен 1)</t>
  </si>
  <si>
    <t>Коэффициент уровня (подуровня МО) по тексту ТС "для онкологии не менее 1"</t>
  </si>
  <si>
    <t>Коэффициент сложности лечения пациента (КСЛП), КСЛПmax=1,8 (отдельно вкладка)</t>
  </si>
  <si>
    <t>sh0877</t>
  </si>
  <si>
    <t>Пролголимаб 1 мг/кг в/в в 1-й день; цикл 14 дней</t>
  </si>
  <si>
    <t>* расчет исходя из дозировки 75 мг, дозировка Пролголимаба по реестру 20 мг/мл, необходимо 3,75 мл</t>
  </si>
  <si>
    <t>sh0583</t>
  </si>
  <si>
    <t>Ниволумаб 3 мг/кг в 1-й день; цикл 14 дней</t>
  </si>
  <si>
    <t>* расчет исходя из дозировки 225 мг, дозировка Ниволумаба по реестру 10 мг/мл, необходимо 22,5 мл</t>
  </si>
  <si>
    <t>sh0661</t>
  </si>
  <si>
    <t>Ниволумаб 240 мг в 1-й день; цикл 14 дней</t>
  </si>
  <si>
    <t>* дозировка Ниволумаба по реестру 10 мг/мл, необходимо 24 мл</t>
  </si>
  <si>
    <t>sh0872</t>
  </si>
  <si>
    <t>Дурвалумаб 10 мг/кг в 1-й день; цикл 14 дней</t>
  </si>
  <si>
    <t>* расчет исходя из дозировки 750 мг, дозировка Дурвалумаба по реестру 50 мг/мл, необходимо 15 мл</t>
  </si>
  <si>
    <t>sh0504</t>
  </si>
  <si>
    <t>Пембролизумаб 200 мг в 1-й день; цикл 21 день</t>
  </si>
  <si>
    <t>* дозировка Пембролизумаба по реестру 25 мг/мл, необходимо 8 мл</t>
  </si>
  <si>
    <t>sh0662</t>
  </si>
  <si>
    <t>Ниволумаб 480 мг в 1-й день; цикл 28 дней</t>
  </si>
  <si>
    <t xml:space="preserve"> * дозировка Ниволумаба по реестру 10 мг/мл, необходимо 48 мл</t>
  </si>
  <si>
    <t>sh0604</t>
  </si>
  <si>
    <t>Ниволумаб 1 мг/кг в 1-й день + ипилимумаб 3 мг/кг в 1-й день; цикл 21 день</t>
  </si>
  <si>
    <t>sh0876</t>
  </si>
  <si>
    <t>Пембролизумаб 400 мг в/в в 1-й день; цикл 42 дня</t>
  </si>
  <si>
    <t>* дозировка Пембролизумаба по реестру 25 мг/мл, необходимо 16 мл</t>
  </si>
  <si>
    <t>sh0985</t>
  </si>
  <si>
    <t>Абемациклиб 400 мг ежедневно</t>
  </si>
  <si>
    <t xml:space="preserve">* расчет исходя из того, что в Тамбовской области закупалась дозировка 200 мг, т.е. в день требуется две таблетки по 200 мг, курс 30 дней, соответственно, требуется 60 таблеток по 200 мг, но цена всех дозировок Абемациклиба (100, 150, 200) одинаковая </t>
  </si>
  <si>
    <t>sh0980</t>
  </si>
  <si>
    <t>Абемациклиб 300 мг ежедневно + фулвестрант 500 мг 1 раз в 28 дней (500 мг 2 раза в первый месяц терапии); цикл 28 дней</t>
  </si>
  <si>
    <t>* расчет исходя из того, что в Тамбовской области закупалась дозировка 150 мг, т.е. в день требуется две таблетки по 150 мг, курс 28 дней, соответственно, требуется 56 таблеток по 150 мг, но цена всех дозировок Абемациклиба (100, 150, 200) одинаковая. Расчет Фулвестранта исходя из того, что в Тамбовской области закупалась дозировка 50 мг/мл, необходимо 10 мл для режима дозирования 1 раз в 28 дней</t>
  </si>
  <si>
    <t>* расчет исходя из того, что в Тамбовской области закупалась дозировка 150 мг, т.е. в день требуется две таблетки по 150 мг, курс 28 дней, соответственно, требуется 56 таблеток по 150 мг, но цена всех дозировок Абемациклиба (100, 150, 200) одинаковая. Расчет Фулвестранта исходя из того, что в Тамбовской области закупалась дозировка 50 мг/мл, необходимо 20 мл для режима дозирования 2 раза в первый месяц терапии</t>
  </si>
  <si>
    <t>sh0155</t>
  </si>
  <si>
    <t>Палбоциклиб 125 мг в 1-21-й дни + фулвестрант 500 мг 1 раз в 28 дней (500 мг 2 раза в первый месяц терапии); цикл 28 дней</t>
  </si>
  <si>
    <t>* расчет исходя из того, что в Тамбовской области закупалось две дозировки Палбоциклиба: 125 и 100 мг, для расчета взята дозировка 125 мг. Расчет Фулвестранта исходя из того, что в Тамбовской области закупалась дозировка 50 мг/мл, необходимо 10 мл для режима дозирования 1 раз в 28 дней</t>
  </si>
  <si>
    <t>* расчет исходя из того, что в Тамбовской области закупалось две дозировки Палбоциклиба: 125 и 100 мг, для расчета взята дозировка 125 мг. Расчет Фулвестранта исходя из того, что в Тамбовской области закупалась дозировка 50 мг/мл, необходимо 20 мл для режима дозирования 2 раза в первый месяц терапии</t>
  </si>
  <si>
    <t>sh0986</t>
  </si>
  <si>
    <t>Фулвестрант 500 мг в/м 1 раз в 28 дней (500 мг 2 раза в первый месяц терапии) + рибоциклиб 600 мг внутрь в 1-21-й дни; цикл 28 дней</t>
  </si>
  <si>
    <t>* расчет Фулвестранта исходя из того, что в Тамбовской области закупалась дозировка 50 мг/мл, необходимо 10 мл для режима дозирования 1 раз в 28 дней. Дозировка Рибоциклиба по реестру 200 мг, соответственно, требуется 3 таблетки в день по 200 мг, на цикл из 21 дня - 63 таблетки</t>
  </si>
  <si>
    <t>* расчет Фулвестранта исходя из того, что в Тамбовской области закупалась дозировка 50 мг/мл, необходимо 20 мл для режима дозирования 2 раза в первый месяц терапии. Дозировка Рибоциклиба по реестру 200 мг, соответственно, требуется 3 таблетки в день по 200 мг, на цикл из 21 дня - 63 таблетки</t>
  </si>
  <si>
    <t>ТВЕРСКАЯ ОБЛАСТЬ</t>
  </si>
  <si>
    <t>Коэффициент дефференциации</t>
  </si>
  <si>
    <t>Наименование препарата</t>
  </si>
  <si>
    <t>Разность стоимости случая по КСГ и доли заработной платы и прочих расходов в 2021 году, руб.</t>
  </si>
  <si>
    <t>Коэффициент специфики оказания МП ( для ЗАТО - 1,2)</t>
  </si>
  <si>
    <t>Коэффициент уровня (подуровня МО), для ЗАТО (КС)- 0,9, ЗАТО (ДС) -1</t>
  </si>
  <si>
    <t>1/1,2</t>
  </si>
  <si>
    <t>* в Тверской области Абемациклиб в исследуемом периоде не закупался, расчет исходя из дозировки 100 мг,  т.е. в день требуется четыре таблетки по 100 мг, курс 30 дней, соответственно, требуется 120 таблеток по 100 мг, но цена всех дозировок Абемациклиба (100, 150, 200) одинаковая</t>
  </si>
  <si>
    <t>* в Тверской области Абемациклиб в исследуемом периоде не закупался, расчет исходя из дозировки 200 мг,  т.е. в день требуется две таблетки по 200 мг, курс 30 дней, соответственно, требуется 60 таблеток по 200 мг, но цена всех дозировок Абемациклиба (100, 150, 200) одинаковая</t>
  </si>
  <si>
    <t>* в Тверской области Абемациклиб в исследуемом периоде не закупался, расчет исходя из дозировки 150 мг,  т.е. в день требуется две таблетки по 150 мг, курс 28 дней, соответственно, требуется 56 таблеток по 150 мг, но цена всех дозировок Абемациклиба (100, 150, 200) одинаковая. Расчет Фулвестранта исходя из того, что в Тверской области закупалась дозировка 50 мг/мл, необходимо 10 мл для режима дозирования 1 раз в 28 дней</t>
  </si>
  <si>
    <t>* в Тверской области Абемациклиб в исследуемом периоде не закупался, расчет исходя из дозировки 150 мг,  т.е. в день требуется две таблетки по 150 мг, курс 28 дней, соответственно, требуется 56 таблеток по 150 мг, но цена всех дозировок Абемациклиба (100, 150, 200) одинаковая. Расчет Фулвестранта исходя из того, что в Тверской области закупалась дозировка 50 мг/мл, необходимо 20 мл для режима дозирования 2 раза в первый месяц терапии</t>
  </si>
  <si>
    <t>* расчет исходя из того, что в Тверской области закупалась дозировка Палбоциклиба: 125 мг. Расчет Фулвестранта исходя из того, что в Тверской области закупалась дозировка 50 мг/мл, необходимо 10 мл для режима дозирования 1 раз в 28 дней</t>
  </si>
  <si>
    <t>* расчет исходя из того, что в Тверской области закупалась дозировка Палбоциклиба: 125 мг. Расчет Фулвестранта исходя из того, что в Тверской области закупалась дозировка 50 мг/мл, необходимо 20 мл для режима дозирования 2 раза в первый месяц терапии</t>
  </si>
  <si>
    <t>* расчет Фулвестранта исходя из того, что в Тверской области закупалась дозировка 50 мг/мл, необходимо 10 мл для режима дозирования 1 раз в 28 дней. Дозировка Рибоциклиба по реестру 200 мг, соответственно, требуется 3 таблетки в день по 200 мг, на цикл из 21 дня - 63 таблетки</t>
  </si>
  <si>
    <t>* расчет Фулвестранта исходя из того, что в Тверской области закупалась дозировка 50 мг/мл, необходимо 20 мл для режима дозирования 2 раза в первый месяц терапии. Дозировка Рибоциклиба по реестру 200 мг, соответственно, требуется 3 таблетки в день по 200 мг, на цикл из 21 дня - 63 таблетки</t>
  </si>
  <si>
    <t>ТОМСКАЯ ОБЛАСТЬ</t>
  </si>
  <si>
    <t>Коэффициент дефференциации (20 коэффициентов от 1 до 2,135)</t>
  </si>
  <si>
    <t>Коэффициент специфики оказания МП ( для ЗАТО - не менее 1,2)</t>
  </si>
  <si>
    <t>* в Томской области Абемациклиб в исследуемом периоде не закупался, расчет исходя из дозировки 100 мг,  т.е. в день требуется четыре таблетки по 100 мг, курс 30 дней, соответственно, требуется 120 таблеток по 100 мг, но цена всех дозировок Абемациклиба (100, 150, 200) одинаковая</t>
  </si>
  <si>
    <t>* в Томской области Абемациклиб в исследуемом периоде не закупался, расчет исходя из дозировки 200 мг,  т.е. в день требуется две таблетки по 200 мг, курс 30 дней, соответственно, требуется 60 таблеток по 200 мг, но цена всех дозировок Абемациклиба (100, 150, 200) одинаковая</t>
  </si>
  <si>
    <t>* в Томской области Абемациклиб в исследуемом периоде не закупался, расчет исходя из дозировки 150 мг,  т.е. в день требуется две таблетки по 150 мг, курс 28 дней, соответственно, требуется 56 таблеток по 150 мг, но цена всех дозировок Абемациклиба (100, 150, 200) одинаковая. Расчет Фулвестранта исходя из того, что в Томской области закупалась дозировка 50 мг/мл, необходимо 10 мл для режима дозирования 1 раз в 28 дней</t>
  </si>
  <si>
    <t xml:space="preserve">Абемациклиб 300 мг ежедневно + фулвестрант 500 мг 1 раз в 28 дней (500 мг 2 раза в первый месяц терапии); цикл 28 дней </t>
  </si>
  <si>
    <t>* в Томской области Абемациклиб в исследуемом периоде не закупался, расчет исходя из дозировки 150 мг,  т.е. в день требуется две таблетки по 150 мг, курс 28 дней, соответственно, требуется 56 таблеток по 150 мг, но цена всех дозировок Абемациклиба (100, 150, 200) одинаковая. Расчет Фулвестранта исходя из того, что в Томской области закупалась дозировка 50 мг/мл, необходимо 20 мл для режима дозирования 2 раза в первый месяц терапии</t>
  </si>
  <si>
    <t>* расчет исходя из того, что в Томской области закупалась дозировка Палбоциклиба: 125 мг. Расчет Фулвестранта исходя из того, что в Томской области закупалась дозировка 50 мг/мл, необходимо 10 мл для режима дозирования 1 раз в 28 дней</t>
  </si>
  <si>
    <t>* расчет исходя из того, что в Томской области закупалась дозировка Палбоциклиба: 125 мг. Расчет Фулвестранта исходя из того, что в Томской области закупалась дозировка 50 мг/мл, необходимо 20 мл для режима дозирования 2 раза в первый месяц терапии</t>
  </si>
  <si>
    <t>* расчет Фулвестранта исходя из того, что в Томской области закупалась дозировка 50 мг/мл, необходимо 10 мл для режима дозирования 1 раз в 28 дней. Дозировка Рибоциклиба по реестру 200 мг, соответственно, требуется 3 таблетки в день по 200 мг, на цикл из 21 дня - 63 таблетки</t>
  </si>
  <si>
    <t>* расчет Фулвестранта исходя из того, что в Томской области закупалась дозировка 50 мг/мл, необходимо 20 мл для режима дозирования 2 раза в первый месяц терапии. Дозировка Рибоциклиба по реестру 200 мг, соответственно, требуется 3 таблетки в день по 200 мг, на цикл из 21 дня - 63 таблетки</t>
  </si>
  <si>
    <t>ТУЛЬСКАЯ ОБЛАСТЬ</t>
  </si>
  <si>
    <t xml:space="preserve">Коэффициент дефференциации </t>
  </si>
  <si>
    <t>* расчет исходя из того, что в Тульской области закупалась дозировка 200 мг, т.е. в день требуется две таблетки по 200 мг, курс 30 дней, соответственно, требуется 60 таблеток по 200 мг, но цена всех дозировок Абемациклиба (100, 150, 200) одинаковая</t>
  </si>
  <si>
    <t>* в Тульской области Абемациклиб в исследуемом периоде в дозировке 150 мг не закупался, расчет исходя из дозировки 150 мг,  т.е. в день требуется две таблетки по 150 мг, курс 28 дней, соответственно, требуется 56 таблеток по 150 мг, но цена всех дозировок Абемациклиба (100, 150, 200) одинаковая. Расчет Фулвестранта исходя из того, что в Тульской области закупалась дозировка 50 мг/мл, необходимо 10 мл для режима дозирования 1 раз в 28 дней</t>
  </si>
  <si>
    <t>* в Тульской области Абемациклиб в исследуемом периоде в дозировке 150 мг не закупался, расчет исходя из дозировки 150 мг,  т.е. в день требуется две таблетки по 150 мг, курс 28 дней, соответственно, требуется 56 таблеток по 150 мг, но цена всех дозировок Абемациклиба (100, 150, 200) одинаковая. Расчет Фулвестранта исходя из того, что в Тульской области закупалась дозировка 50 мг/мл, необходимо 20 мл для режима дозирования 2 раза в первый месяц терапии</t>
  </si>
  <si>
    <t>* расчет исходя из того, что в Тульской области закупалась дозировка Палбоциклиба: 125 мг. Расчет Фулвестранта исходя из того, что в Тульской области закупалась дозировка 50 мг/мл, необходимо 10 мл для режима дозирования 1 раз в 28 дней</t>
  </si>
  <si>
    <t>* расчет исходя из того, что в Тульской области закупалась дозировка Палбоциклиба: 125 мг. Расчет Фулвестранта исходя из того, что в Тульской области закупалась дозировка 50 мг/мл, необходимо 20 мл для режима дозирования 2 раза в первый месяц терапии</t>
  </si>
  <si>
    <t>* расчет Фулвестранта исходя из того, что в Тульской области закупалась дозировка 50 мг/мл, необходимо 10 мл для режима дозирования 1 раз в 28 дней. Дозировка Рибоциклиба по реестру 200 мг, соответственно, требуется 3 таблетки в день по 200 мг, на цикл из 21 дня - 63 таблетки</t>
  </si>
  <si>
    <t>* расчет Фулвестранта исходя из того, что в Тульской области закупалась дозировка 50 мг/мл, необходимо 20 мл для режима дозирования 2 раза в первый месяц терапии. Дозировка Рибоциклиба по реестру 200 мг, соответственно, требуется 3 таблетки в день по 200 мг, на цикл из 21 дня - 63 таблетки</t>
  </si>
  <si>
    <t>УДМУРТСКАЯ РЕСПУБЛИКА</t>
  </si>
  <si>
    <t>* в Удмуртской республике Абемациклиб в исследуемом периоде не закупался, расчет исходя из дозировки 100 мг,  т.е. в день требуется четыре таблетки по 100 мг, курс 30 дней, соответственно, требуется 120 таблеток по 100 мг, но цена всех дозировок Абемациклиба (100, 150, 200) одинаковая</t>
  </si>
  <si>
    <t>* в Удмуртской республике Абемациклиб в исследуемом периоде не закупался, расчет исходя из дозировки 200 мг,  т.е. в день требуется две таблетки по 200 мг, курс 30 дней, соответственно, требуется 60 таблеток по 200 мг, но цена всех дозировок Абемациклиба (100, 150, 200) одинаковая</t>
  </si>
  <si>
    <t>* в Удмуртской республике Абемациклиб в исследуемом периоде не закупался, расчет исходя из дозировки 150 мг,  т.е. в день требуется две таблетки по 150 мг, курс 28 дней, соответственно, требуется 56 таблеток по 150 мг, но цена всех дозировок Абемациклиба (100, 150, 200) одинаковая. Расчет Фулвестранта исходя из того, что в Удмуртской республике закупалась дозировка 50 мг/мл, необходимо 10 мл для режима дозирования 1 раз в 28 дней</t>
  </si>
  <si>
    <t>* в Удмуртской республике Абемациклиб в исследуемом периоде не закупался, расчет исходя из дозировки 150 мг,  т.е. в день требуется две таблетки по 150 мг, курс 28 дней, соответственно, требуется 56 таблеток по 150 мг, но цена всех дозировок Абемациклиба (100, 150, 200) одинаковая. Расчет Фулвестранта исходя из того, что в Удмуртской республике закупалась дозировка 50 мг/мл, необходимо 20 мл для режима дозирования 2 раза в первый месяц терапии</t>
  </si>
  <si>
    <t>* расчет исходя из того, что в Удмуртской республике закупалась дозировка Палбоциклиба: 125 мг. Расчет Фулвестранта исходя из того, что в Удмуртской республике закупалась дозировка 50 мг/мл, необходимо 10 мл для режима дозирования 1 раз в 28 дней</t>
  </si>
  <si>
    <t>* расчет исходя из того, что в Удмуртской республике закупалась дозировка Палбоциклиба: 125 мг. Расчет Фулвестранта исходя из того, что в Удмуртской республике закупалась дозировка 50 мг/мл, необходимо 20 мл для режима дозирования 2 раза в первый месяц терапии</t>
  </si>
  <si>
    <t>* расчет Фулвестранта исходя из того, что в Удмуртской республике закупалась дозировка 50 мг/мл, необходимо 10 мл для режима дозирования 1 раз в 28 дней. Дозировка Рибоциклиба по реестру 200 мг, соответственно, требуется 3 таблетки в день по 200 мг, на цикл из 21 дня - 63 таблетки</t>
  </si>
  <si>
    <t>* расчет Фулвестранта исходя из того, что в Удмуртской республике закупалась дозировка 50 мг/мл, необходимо 20 мл для режима дозирования 2 раза в первый месяц терапии. Дозировка Рибоциклиба по реестру 200 мг, соответственно, требуется 3 таблетки в день по 200 мг, на цикл из 21 дня - 63 таблетки</t>
  </si>
  <si>
    <t>ХАБАРОВСКИЙ КРАЙ</t>
  </si>
  <si>
    <t>* в Хабаровском крае Абемациклиб в исследуемом периоде в дозировке 100 или 200 мг не закупался, расчет исходя из дозировки 100 мг,  т.е. в день требуется четыре таблетки по 100 мг, курс 30 дней, соответственно, требуется 120 таблеток по 100 мг, но цена всех дозировок Абемациклиба (100, 150, 200) одинаковая</t>
  </si>
  <si>
    <t>* в Хабаровском крае Абемациклиб в исследуемом периоде в дозировке 100 или 200 мг не закупался, расчет исходя из дозировки 200 мг,  т.е. в день требуется две таблетки по 200 мг, курс 30 дней, соответственно, требуется 60 таблеток по 200 мг, но цена всех дозировок Абемациклиба (100, 150, 200) одинаковая</t>
  </si>
  <si>
    <t>* расчет исходя из того, что в Хабаровском крае закупалась дозировка 150 мг, т.е. в день требуется две таблетки по 150 мг, курс 28 дней, соответственно, требуется 56 таблеток по 150 мг, но цена всех дозировок Абемациклиба (100, 150, 200) одинаковая. Расчет Фулвестранта исходя из того, что в Хабаровском крае закупалась дозировка 50 мг/мл, необходимо 10 мл для режима дозирования 1 раз в 28 дней</t>
  </si>
  <si>
    <t>* расчет исходя из того, что в Хабаровском крае закупалась дозировка 150 мг, т.е. в день требуется две таблетки по 150 мг, курс 28 дней, соответственно, требуется 56 таблеток по 150 мг, но цена всех дозировок Абемациклиба (100, 150, 200) одинаковая. Расчет Фулвестранта исходя из того, что в Хабаровском крае закупалась дозировка 50 мг/мл, необходимо 20 мл для режима дозирования 2 раза в первый месяц терапии</t>
  </si>
  <si>
    <t>* расчет исходя из того, что в Хабаровском крае закупалась дозировка Палбоциклиба: 125 мг. Расчет Фулвестранта исходя из того, что в Хабаровском крае закупалась дозировка 50 мг/мл, необходимо 10 мл для режима дозирования 1 раз в 28 дней</t>
  </si>
  <si>
    <t>* расчет исходя из того, что в Хабаровском крае закупалась дозировка Палбоциклиба: 125 мг. Расчет Фулвестранта исходя из того, что в Хабаровском крае закупалась дозировка 50 мг/мл, необходимо 20 мл для режима дозирования 2 раза в первый месяц терапии</t>
  </si>
  <si>
    <t>* расчет Фулвестранта исходя из того, что в Хабаровском крае закупалась дозировка 50 мг/мл, необходимо 10 мл для режима дозирования 1 раз в 28 дней. Дозировка Рибоциклиба по реестру 200 мг, соответственно, требуется 3 таблетки в день по 200 мг, на цикл из 21 дня - 63 таблетки</t>
  </si>
  <si>
    <t>* расчет Фулвестранта исходя из того, что в Хабаровском крае закупалась дозировка 50 мг/мл, необходимо 20 мл для режима дозирования 2 раза в первый месяц терапии. Дозировка Рибоциклиба по реестру 200 мг, соответственно, требуется 3 таблетки в день по 200 мг, на цикл из 21 дня - 63 таблетки</t>
  </si>
  <si>
    <t>ЧЕЛЯБИНСКАЯ ОБЛАСТЬ</t>
  </si>
  <si>
    <t>Коэффициент дефференциации (для ЗАТО =1,21/1,14)</t>
  </si>
  <si>
    <t>Коэффициент специфики оказания МП (для ДС в ЗАТО - 1,2)</t>
  </si>
  <si>
    <t>* в Челябинской области Абемациклиб в исследуемом периоде не закупался, расчет исходя из дозировки 100 мг,  т.е. в день требуется четыре таблетки по 100 мг, курс 30 дней, соответственно, требуется 120 таблеток по 100 мг, но цена всех дозировок Абемациклиба (100, 150, 200) одинаковая</t>
  </si>
  <si>
    <t>* в Челябинской области Абемациклиб в исследуемом периоде не закупался, расчет исходя из дозировки 200 мг,  т.е. в день требуется две таблетки по 200 мг, курс 30 дней, соответственно, требуется 60 таблеток по 200 мг, но цена всех дозировок Абемациклиба (100, 150, 200) одинаковая</t>
  </si>
  <si>
    <t>* в Челябинской области Абемациклиб в исследуемом периоде не закупался, расчет исходя из дозировки 150 мг,  т.е. в день требуется две таблетки по 150 мг, курс 28 дней, соответственно, требуется 56 таблеток по 150 мг, но цена всех дозировок Абемациклиба (100, 150, 200) одинаковая. Расчет Фулвестранта исходя из того, что в Челябинской области закупалась дозировка 50 мг/мл, необходимо 10 мл для режима дозирования 1 раз в 28 дней</t>
  </si>
  <si>
    <t>* в Челябинской области Абемациклиб в исследуемом периоде не закупался, расчет исходя из дозировки 150 мг,  т.е. в день требуется две таблетки по 150 мг, курс 28 дней, соответственно, требуется 56 таблеток по 150 мг, но цена всех дозировок Абемациклиба (100, 150, 200) одинаковая. Расчет Фулвестранта исходя из того, что в Челябинской области закупалась дозировка 50 мг/мл, необходимо 20 мл для режима дозирования 2 раза в первый месяц терапии</t>
  </si>
  <si>
    <t>* расчет исходя из того, что в Челябинской области закупалась дозировка Палбоциклиба: 125 мг. Расчет Фулвестранта исходя из того, что в Челябинской области закупалась дозировка 50 мг/мл, необходимо 10 мл для режима дозирования 1 раз в 28 дней</t>
  </si>
  <si>
    <t>* расчет исходя из того, что в Челябинской области закупалась дозировка Палбоциклиба: 125 мг. Расчет Фулвестранта исходя из того, что в Челябинской области закупалась дозировка 50 мг/мл, необходимо 20 мл для режима дозирования 2 раза в первый месяц терапии</t>
  </si>
  <si>
    <t>* расчет Фулвестранта исходя из того, что в Челябинской области закупалась дозировка 50 мг/мл, необходимо 10 мл для режима дозирования 1 раз в 28 дней. Дозировка Рибоциклиба по реестру 200 мг, соответственно, требуется 3 таблетки в день по 200 мг, на цикл из 21 дня - 63 таблетки</t>
  </si>
  <si>
    <t>* расчет Фулвестранта исходя из того, что в Челябинской области закупалась дозировка 50 мг/мл, необходимо 20 мл для режима дозирования 2 раза в первый месяц терапии. Дозировка Рибоциклиба по реестру 200 мг, соответственно, требуется 3 таблетки в день по 200 мг, на цикл из 21 дня - 63 таблетки</t>
  </si>
  <si>
    <t>ЧУВАШСКАЯ РЕСПУБЛИКА</t>
  </si>
  <si>
    <t>* в Чувашской республике Абемациклиб в исследуемом периоде не закупался, расчет исходя из дозировки 100 мг,  т.е. в день требуется четыре таблетки по 100 мг, курс 30 дней, соответственно, требуется 120 таблеток по 100 мг, но цена всех дозировок Абемациклиба (100, 150, 200) одинаковая</t>
  </si>
  <si>
    <t>* в Чувашской республике Абемациклиб в исследуемом периоде не закупался, расчет исходя из дозировки 200 мг,  т.е. в день требуется две таблетки по 200 мг, курс 30 дней, соответственно, требуется 60 таблеток по 200 мг, но цена всех дозировок Абемациклиба (100, 150, 200) одинаковая</t>
  </si>
  <si>
    <t>* в Чувашской республике Абемациклиб в исследуемом периоде не закупался, расчет исходя из дозировки 150 мг,  т.е. в день требуется две таблетки по 150 мг, курс 28 дней, соответственно, требуется 56 таблеток по 150 мг, но цена всех дозировок Абемациклиба (100, 150, 200) одинаковая. Расчет Фулвестранта исходя из того, что в Чувашской республике закупалась дозировка 50 мг/мл, необходимо 10 мл для режима дозирования 1 раз в 28 дней</t>
  </si>
  <si>
    <t>* в Чувашской республике Абемациклиб в исследуемом периоде не закупался, расчет исходя из дозировки 150 мг,  т.е. в день требуется две таблетки по 150 мг, курс 28 дней, соответственно, требуется 56 таблеток по 150 мг, но цена всех дозировок Абемациклиба (100, 150, 200) одинаковая. Расчет Фулвестранта исходя из того, что в Чувашской республике закупалась дозировка 50 мг/мл, необходимо 20 мл для режима дозирования 2 раза в первый месяц терапии</t>
  </si>
  <si>
    <t>* в Чувашской республике Палбоциклиб в исследуемом периоде не закупался, расчет исходя из дозировки 125 мг. Расчет Фулвестранта исходя из того, что в Чувашской республике закупалась дозировка 50 мг/мл, необходимо 10 мл для режима дозирования 1 раз в 28 дней</t>
  </si>
  <si>
    <t>* в Чувашской республике Палбоциклиб в исследуемом периоде не закупался, расчет исходя из дозировки 125 мг. Расчет Фулвестранта исходя из того, что в Чувашской республике закупалась дозировка 50 мг/мл, необходимо 20 мл для режима дозирования 2 раза в первый месяц терапии</t>
  </si>
  <si>
    <t>* расчет Фулвестранта исходя из того, что в Чувашской республике закупалась дозировка 50 мг/мл, необходимо 10 мл для режима дозирования 1 раз в 28 дней. Дозировка Рибоциклиба по реестру 200 мг, соответственно, требуется 3 таблетки в день по 200 мг, на цикл из 21 дня - 63 таблетки</t>
  </si>
  <si>
    <t>* расчет Фулвестранта исходя из того, что в Чувашской республике закупалась дозировка 50 мг/мл, необходимо 20 мл для режима дозирования 2 раза в первый месяц терапии. Дозировка Рибоциклиба по реестру 200 мг, соответственно, требуется 3 таблетки в день по 200 мг, на цикл из 21 дня - 63 таблетки</t>
  </si>
  <si>
    <t>ЯРОСЛАВСКАЯ ОБЛАСТЬ</t>
  </si>
  <si>
    <t>* расчет исходя из того, что в Ярославской области закупалась дозировка 200 мг, т.е. в день требуется две таблетки по 200 мг, курс 30 дней, соответственно, требуется 60 таблеток по 200 мг, но цена всех дозировок Абемациклиба (100, 150, 200) одинаковая</t>
  </si>
  <si>
    <t>* расчет исходя из того, что в Ярославской области закупалась дозировка 150 мг, т.е. в день требуется две таблетки по 150 мг, курс 28 дней, соответственно, требуется 56 таблеток по 150 мг, но цена всех дозировок Абемациклиба (100, 150, 200) одинаковая. Расчет Фулвестранта исходя из того, что в Ярославской области закупалась дозировка 50 мг/мл, необходимо 10 мл для режима дозирования 1 раз в 28 дней</t>
  </si>
  <si>
    <t>* расчет исходя из того, что в Ярославской области закупалась дозировка 150 мг, т.е. в день требуется две таблетки по 150 мг, курс 28 дней, соответственно, требуется 56 таблеток по 150 мг, но цена всех дозировок Абемациклиба (100, 150, 200) одинаковая. Расчет Фулвестранта исходя из того, что в Ярославской области закупалась дозировка 50 мг/мл, необходимо 20 мл для режима дозирования 2 раза в первый месяц терапии</t>
  </si>
  <si>
    <t>* расчет исходя из того, что в Ярославской области закупалась дозировка Палбоциклиба: 125 мг. Расчет Фулвестранта исходя из того, что в Ярославской области закупалась дозировка 50 мг/мл, необходимо 10 мл для режима дозирования 1 раз в 28 дней</t>
  </si>
  <si>
    <t>* расчет исходя из того, что в Ярославской области закупалась дозировка Палбоциклиба: 125 мг. Расчет Фулвестранта исходя из того, что в Ярославской области закупалась дозировка 50 мг/мл, необходимо 20 мл для режима дозирования 2 раза в первый месяц терапии</t>
  </si>
  <si>
    <t>* расчет Фулвестранта исходя из того, что в Ярославской области закупалась дозировка 50 мг/мл, необходимо 10 мл для режима дозирования 1 раз в 28 дней. Дозировка Рибоциклиба по реестру 200 мг, соответственно, требуется 3 таблетки в день по 200 мг, на цикл из 21 дня - 63 таблетки</t>
  </si>
  <si>
    <t>* расчет Фулвестранта исходя из того, что в Ярославской области закупалась дозировка 50 мг/мл, необходимо 20 мл для режима дозирования 2 раза в первый месяц терапии. Дозировка Рибоциклиба по реестру 200 мг, соответственно, требуется 3 таблетки в день по 200 мг, на цикл из 21 дня - 63 таблетки</t>
  </si>
  <si>
    <t>КСГ 2021</t>
  </si>
  <si>
    <t>КСГ 2022</t>
  </si>
  <si>
    <t>Схема ЛТ</t>
  </si>
  <si>
    <t>Показания</t>
  </si>
  <si>
    <r>
      <rPr>
        <b/>
        <i/>
        <sz val="11"/>
        <color theme="1"/>
        <rFont val="Calibri"/>
        <family val="2"/>
        <charset val="204"/>
        <scheme val="minor"/>
      </rPr>
      <t>2021 Тамбовская область</t>
    </r>
    <r>
      <rPr>
        <i/>
        <sz val="11"/>
        <color theme="1"/>
        <rFont val="Calibri"/>
        <family val="2"/>
        <charset val="204"/>
        <scheme val="minor"/>
      </rPr>
      <t xml:space="preserve"> Стоимость случая, руб.</t>
    </r>
  </si>
  <si>
    <r>
      <rPr>
        <b/>
        <i/>
        <sz val="11"/>
        <color theme="1"/>
        <rFont val="Calibri"/>
        <family val="2"/>
        <charset val="204"/>
        <scheme val="minor"/>
      </rPr>
      <t>2021</t>
    </r>
    <r>
      <rPr>
        <i/>
        <sz val="11"/>
        <color theme="1"/>
        <rFont val="Calibri"/>
        <family val="2"/>
        <charset val="204"/>
        <scheme val="minor"/>
      </rPr>
      <t xml:space="preserve"> Разность стоимости случая по КСГ и доли заработной платы и прочих расходов, руб.</t>
    </r>
  </si>
  <si>
    <r>
      <rPr>
        <b/>
        <i/>
        <sz val="11"/>
        <color theme="1"/>
        <rFont val="Calibri"/>
        <family val="2"/>
        <charset val="204"/>
        <scheme val="minor"/>
      </rPr>
      <t>2022 Тамбовская область</t>
    </r>
    <r>
      <rPr>
        <i/>
        <sz val="11"/>
        <color theme="1"/>
        <rFont val="Calibri"/>
        <family val="2"/>
        <charset val="204"/>
        <scheme val="minor"/>
      </rPr>
      <t xml:space="preserve"> Стоимость случая, руб</t>
    </r>
  </si>
  <si>
    <r>
      <rPr>
        <b/>
        <i/>
        <sz val="11"/>
        <color theme="1"/>
        <rFont val="Calibri"/>
        <family val="2"/>
        <charset val="204"/>
        <scheme val="minor"/>
      </rPr>
      <t>2022</t>
    </r>
    <r>
      <rPr>
        <i/>
        <sz val="11"/>
        <color theme="1"/>
        <rFont val="Calibri"/>
        <family val="2"/>
        <charset val="204"/>
        <scheme val="minor"/>
      </rPr>
      <t xml:space="preserve"> Разность стоимости случая по КСГ и доли заработной платы и прочих расходов, руб.</t>
    </r>
  </si>
  <si>
    <r>
      <t xml:space="preserve">2021 Тверская область </t>
    </r>
    <r>
      <rPr>
        <i/>
        <sz val="11"/>
        <color theme="1"/>
        <rFont val="Calibri"/>
        <family val="2"/>
        <charset val="204"/>
        <scheme val="minor"/>
      </rPr>
      <t>Стоимость случая, руб.</t>
    </r>
  </si>
  <si>
    <r>
      <t xml:space="preserve">2022 Тверская область </t>
    </r>
    <r>
      <rPr>
        <i/>
        <sz val="11"/>
        <color theme="1"/>
        <rFont val="Calibri"/>
        <family val="2"/>
        <charset val="204"/>
        <scheme val="minor"/>
      </rPr>
      <t>Стоимость случая, руб.</t>
    </r>
  </si>
  <si>
    <r>
      <rPr>
        <b/>
        <i/>
        <sz val="11"/>
        <color theme="1"/>
        <rFont val="Calibri"/>
        <family val="2"/>
        <charset val="204"/>
        <scheme val="minor"/>
      </rPr>
      <t>2021 Томская область</t>
    </r>
    <r>
      <rPr>
        <i/>
        <sz val="11"/>
        <color theme="1"/>
        <rFont val="Calibri"/>
        <family val="2"/>
        <charset val="204"/>
        <scheme val="minor"/>
      </rPr>
      <t xml:space="preserve"> Стоимость случая, руб.</t>
    </r>
  </si>
  <si>
    <r>
      <rPr>
        <b/>
        <i/>
        <sz val="11"/>
        <color theme="1"/>
        <rFont val="Calibri"/>
        <family val="2"/>
        <charset val="204"/>
        <scheme val="minor"/>
      </rPr>
      <t>2022 Томская область</t>
    </r>
    <r>
      <rPr>
        <i/>
        <sz val="11"/>
        <color theme="1"/>
        <rFont val="Calibri"/>
        <family val="2"/>
        <charset val="204"/>
        <scheme val="minor"/>
      </rPr>
      <t xml:space="preserve"> Стоимость случая, руб.</t>
    </r>
  </si>
  <si>
    <r>
      <rPr>
        <b/>
        <i/>
        <sz val="11"/>
        <color theme="1"/>
        <rFont val="Calibri"/>
        <family val="2"/>
        <charset val="204"/>
        <scheme val="minor"/>
      </rPr>
      <t>2021 Тульская область</t>
    </r>
    <r>
      <rPr>
        <i/>
        <sz val="11"/>
        <color theme="1"/>
        <rFont val="Calibri"/>
        <family val="2"/>
        <charset val="204"/>
        <scheme val="minor"/>
      </rPr>
      <t xml:space="preserve"> Стоимость случая, руб.</t>
    </r>
  </si>
  <si>
    <r>
      <rPr>
        <b/>
        <i/>
        <sz val="11"/>
        <color theme="1"/>
        <rFont val="Calibri"/>
        <family val="2"/>
        <charset val="204"/>
        <scheme val="minor"/>
      </rPr>
      <t xml:space="preserve">2021 </t>
    </r>
    <r>
      <rPr>
        <i/>
        <sz val="11"/>
        <color theme="1"/>
        <rFont val="Calibri"/>
        <family val="2"/>
        <charset val="204"/>
        <scheme val="minor"/>
      </rPr>
      <t>Разность стоимости случая по КСГ и доли заработной платы и прочих расходов, руб.</t>
    </r>
  </si>
  <si>
    <r>
      <rPr>
        <b/>
        <i/>
        <sz val="11"/>
        <color theme="1"/>
        <rFont val="Calibri"/>
        <family val="2"/>
        <charset val="204"/>
        <scheme val="minor"/>
      </rPr>
      <t>2022 Тульская область</t>
    </r>
    <r>
      <rPr>
        <i/>
        <sz val="11"/>
        <color theme="1"/>
        <rFont val="Calibri"/>
        <family val="2"/>
        <charset val="204"/>
        <scheme val="minor"/>
      </rPr>
      <t xml:space="preserve"> Стоимость случая, руб.</t>
    </r>
  </si>
  <si>
    <r>
      <rPr>
        <b/>
        <i/>
        <sz val="11"/>
        <color theme="1"/>
        <rFont val="Calibri"/>
        <family val="2"/>
        <charset val="204"/>
        <scheme val="minor"/>
      </rPr>
      <t>2021 Удмуртская республика</t>
    </r>
    <r>
      <rPr>
        <i/>
        <sz val="11"/>
        <color theme="1"/>
        <rFont val="Calibri"/>
        <family val="2"/>
        <charset val="204"/>
        <scheme val="minor"/>
      </rPr>
      <t xml:space="preserve"> Стоимость случая, руб.</t>
    </r>
  </si>
  <si>
    <r>
      <rPr>
        <b/>
        <i/>
        <sz val="11"/>
        <color theme="1"/>
        <rFont val="Calibri"/>
        <family val="2"/>
        <charset val="204"/>
        <scheme val="minor"/>
      </rPr>
      <t>2022 Удмурсткая республика</t>
    </r>
    <r>
      <rPr>
        <i/>
        <sz val="11"/>
        <color theme="1"/>
        <rFont val="Calibri"/>
        <family val="2"/>
        <charset val="204"/>
        <scheme val="minor"/>
      </rPr>
      <t xml:space="preserve"> Стоимость случая, руб.</t>
    </r>
  </si>
  <si>
    <r>
      <rPr>
        <b/>
        <i/>
        <sz val="11"/>
        <color theme="1"/>
        <rFont val="Calibri"/>
        <family val="2"/>
        <charset val="204"/>
        <scheme val="minor"/>
      </rPr>
      <t>2021 Хабаровский край</t>
    </r>
    <r>
      <rPr>
        <i/>
        <sz val="11"/>
        <color theme="1"/>
        <rFont val="Calibri"/>
        <family val="2"/>
        <charset val="204"/>
        <scheme val="minor"/>
      </rPr>
      <t xml:space="preserve"> Стоимость случая, руб.</t>
    </r>
  </si>
  <si>
    <t>Разность стоимости случая по КСГ и доли заработной платы и прочих расходов, руб.</t>
  </si>
  <si>
    <r>
      <rPr>
        <b/>
        <i/>
        <sz val="11"/>
        <color theme="1"/>
        <rFont val="Calibri"/>
        <family val="2"/>
        <charset val="204"/>
        <scheme val="minor"/>
      </rPr>
      <t>2022 Хабаровский край</t>
    </r>
    <r>
      <rPr>
        <i/>
        <sz val="11"/>
        <color theme="1"/>
        <rFont val="Calibri"/>
        <family val="2"/>
        <charset val="204"/>
        <scheme val="minor"/>
      </rPr>
      <t xml:space="preserve"> Стоимость случая, руб.</t>
    </r>
  </si>
  <si>
    <r>
      <rPr>
        <b/>
        <i/>
        <sz val="11"/>
        <color theme="1"/>
        <rFont val="Calibri"/>
        <family val="2"/>
        <charset val="204"/>
        <scheme val="minor"/>
      </rPr>
      <t>2021 Челябинская область</t>
    </r>
    <r>
      <rPr>
        <i/>
        <sz val="11"/>
        <color theme="1"/>
        <rFont val="Calibri"/>
        <family val="2"/>
        <charset val="204"/>
        <scheme val="minor"/>
      </rPr>
      <t xml:space="preserve"> Стоимость случая, руб.</t>
    </r>
  </si>
  <si>
    <r>
      <rPr>
        <b/>
        <i/>
        <sz val="11"/>
        <color theme="1"/>
        <rFont val="Calibri"/>
        <family val="2"/>
        <charset val="204"/>
        <scheme val="minor"/>
      </rPr>
      <t>2022 Челябинская область</t>
    </r>
    <r>
      <rPr>
        <i/>
        <sz val="11"/>
        <color theme="1"/>
        <rFont val="Calibri"/>
        <family val="2"/>
        <charset val="204"/>
        <scheme val="minor"/>
      </rPr>
      <t xml:space="preserve"> Стоимость случая, руб.</t>
    </r>
  </si>
  <si>
    <r>
      <rPr>
        <b/>
        <i/>
        <sz val="11"/>
        <color theme="1"/>
        <rFont val="Calibri"/>
        <family val="2"/>
        <charset val="204"/>
        <scheme val="minor"/>
      </rPr>
      <t>2021 Чувашская республика</t>
    </r>
    <r>
      <rPr>
        <i/>
        <sz val="11"/>
        <color theme="1"/>
        <rFont val="Calibri"/>
        <family val="2"/>
        <charset val="204"/>
        <scheme val="minor"/>
      </rPr>
      <t xml:space="preserve"> Стоимость случая, руб.</t>
    </r>
  </si>
  <si>
    <r>
      <rPr>
        <b/>
        <i/>
        <sz val="11"/>
        <color theme="1"/>
        <rFont val="Calibri"/>
        <family val="2"/>
        <charset val="204"/>
        <scheme val="minor"/>
      </rPr>
      <t>2022 Чувашская республика</t>
    </r>
    <r>
      <rPr>
        <i/>
        <sz val="11"/>
        <color theme="1"/>
        <rFont val="Calibri"/>
        <family val="2"/>
        <charset val="204"/>
        <scheme val="minor"/>
      </rPr>
      <t xml:space="preserve"> Стоимость случая, руб.</t>
    </r>
  </si>
  <si>
    <r>
      <rPr>
        <b/>
        <i/>
        <sz val="11"/>
        <color theme="1"/>
        <rFont val="Calibri"/>
        <family val="2"/>
        <charset val="204"/>
        <scheme val="minor"/>
      </rPr>
      <t>2021 Ярославская область</t>
    </r>
    <r>
      <rPr>
        <i/>
        <sz val="11"/>
        <color theme="1"/>
        <rFont val="Calibri"/>
        <family val="2"/>
        <charset val="204"/>
        <scheme val="minor"/>
      </rPr>
      <t xml:space="preserve"> Стоимость случая, руб.</t>
    </r>
  </si>
  <si>
    <r>
      <rPr>
        <b/>
        <i/>
        <sz val="11"/>
        <color theme="1"/>
        <rFont val="Calibri"/>
        <family val="2"/>
        <charset val="204"/>
        <scheme val="minor"/>
      </rPr>
      <t>2022 Ярославская область</t>
    </r>
    <r>
      <rPr>
        <i/>
        <sz val="11"/>
        <color theme="1"/>
        <rFont val="Calibri"/>
        <family val="2"/>
        <charset val="204"/>
        <scheme val="minor"/>
      </rPr>
      <t xml:space="preserve"> Стоимость случая, руб.</t>
    </r>
  </si>
  <si>
    <t>Круглосуточный стационар</t>
  </si>
  <si>
    <t xml:space="preserve">Пролголимаб </t>
  </si>
  <si>
    <t>st19.068;</t>
  </si>
  <si>
    <t>Неоперабельная или метастатическая меланома</t>
  </si>
  <si>
    <t>1 мг/кг в/в в 1-й день; цикл 14 дней</t>
  </si>
  <si>
    <t xml:space="preserve">Ниволумаб </t>
  </si>
  <si>
    <t>st19.073;</t>
  </si>
  <si>
    <t xml:space="preserve">480 мг в 1-й день; цикл 28 дней </t>
  </si>
  <si>
    <t xml:space="preserve">Пембролизумаб </t>
  </si>
  <si>
    <t>st19.074;</t>
  </si>
  <si>
    <t xml:space="preserve">400 мг в/в в 1-й день; цикл 42 дня </t>
  </si>
  <si>
    <t>Дневной стационар</t>
  </si>
  <si>
    <t>ds19.044;</t>
  </si>
  <si>
    <t>98 832, 16</t>
  </si>
  <si>
    <t>ds19.049;</t>
  </si>
  <si>
    <t>Немелкоклеточный рак легкого (лекарственная терапия 2-й линии)</t>
  </si>
  <si>
    <t>Ниволумаб</t>
  </si>
  <si>
    <t xml:space="preserve">st19.071; </t>
  </si>
  <si>
    <t>Злокачественные новообразования полости рта</t>
  </si>
  <si>
    <t>184 824, 98</t>
  </si>
  <si>
    <t>3 мг/кг в 1-й день; цикл 14 дней</t>
  </si>
  <si>
    <t>Пембролизумаб</t>
  </si>
  <si>
    <t>st19.072;</t>
  </si>
  <si>
    <t>200 мг в 1-й день; цикл 21 день</t>
  </si>
  <si>
    <t>st19.071;</t>
  </si>
  <si>
    <t>Рак печени (гепатоцеллюлярный)</t>
  </si>
  <si>
    <t>240 мг в 1-й день; цикл 14 дней</t>
  </si>
  <si>
    <t>Рак желудка (3-я и последующая линия лекарственной терапии)</t>
  </si>
  <si>
    <t>480 мг в 1-й день; цикл 28 дней</t>
  </si>
  <si>
    <t>400 мг в/в в 1-й день; цикл 42 дня</t>
  </si>
  <si>
    <t xml:space="preserve">ds19.047; </t>
  </si>
  <si>
    <t>ds19.048;</t>
  </si>
  <si>
    <t>ds19.047;</t>
  </si>
  <si>
    <t xml:space="preserve">Абемациклиб </t>
  </si>
  <si>
    <t>Рак молочной железы</t>
  </si>
  <si>
    <t>78 035,4 (при условии применения Абемациклиба 200 мг)/156 070,8 (при условии применения Абемациклиба 100 мг)</t>
  </si>
  <si>
    <t xml:space="preserve"> 400 мг ежедневно</t>
  </si>
  <si>
    <t xml:space="preserve">Абемациклиб + фулвестрант </t>
  </si>
  <si>
    <t>Абемациклиб 300 мг ежедневно + фулвестрант 500 мг 1 раз в 28 дней; цикл 28 дней</t>
  </si>
  <si>
    <t>Абемациклиб 300 мг ежедневно + фулвестрант 500 мг 2 раза в первый месяц терапии; цикл 28 дней</t>
  </si>
  <si>
    <t>Палбоциклиб + фулвестрант</t>
  </si>
  <si>
    <t>ds19.046;</t>
  </si>
  <si>
    <t>Палбоциклиб 125 мг в 1-21-й дни + фулвестрант 500 мг 1 раз в 28 дней; цикл 28 дней</t>
  </si>
  <si>
    <t>Палбоциклиб 125 мг в 1-21-й дни + фулвестрант 500 мг 2 раза в первый месяц терапии; цикл 28 дней</t>
  </si>
  <si>
    <t>Рибоциклиб + фулвестрант</t>
  </si>
  <si>
    <t>Фулвестрант 500 мг в/м 1 раз в 28 дней + рибоциклиб 600 мг внутрь в 1-21-й дни; цикл 28 дней</t>
  </si>
  <si>
    <t>Фулвестрант 500 мг 2 раза в первый месяц терапии + рибоциклиб 600 мг внутрь в 1-21-й дни; цикл 28 дней</t>
  </si>
  <si>
    <t>Дурвалумаб</t>
  </si>
  <si>
    <t>10 мг/кг в 1-й день; цикл 14 дней</t>
  </si>
  <si>
    <t>* расчет Ниволумаба исходя из дозировки 75 мг, дозировка Ниволумаба по реестру 10 мг/мл, необходимо 7,5 мл. Расчет Ипилимумаба исходя из дозировки 225 мг, дозировка Ипилимумаба по реестру 5 мг/мл, необходимо 45 мл</t>
  </si>
  <si>
    <t>Ниволумаб +ипилимумаб</t>
  </si>
  <si>
    <t>Ниволумаб+ипилимумаб</t>
  </si>
  <si>
    <t xml:space="preserve">Ниволумаб 1 мг/кг в 1-й день + ипилимумаб 3 мг/кг в 1-й день; цикл 21 день </t>
  </si>
  <si>
    <t xml:space="preserve">ДЗП - доля заработной платы и прочих расходов в структуре стоимости КСГ (установленное Программой государственных гарантий значение, к которому применяется  КД); </t>
  </si>
  <si>
    <t>* расчет исходя из доли заработной платы и прочих расходов в составе тарифа, установленных Программой государственных гарантий</t>
  </si>
  <si>
    <t>Немелкоклеточный рак легкого (IIIB–IIIC стадия)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</si>
</sst>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b/>
      <sz val="14"/>
      <color theme="1"/>
      <name val="Calibri"/>
      <family val="2"/>
      <charset val="204"/>
      <scheme val="minor"/>
    </font>
    <font>
      <b/>
      <sz val="12"/>
      <color theme="1"/>
      <name val="Times New Roman"/>
      <family val="1"/>
      <charset val="204"/>
    </font>
    <font>
      <b/>
      <vertAlign val="subscript"/>
      <sz val="11"/>
      <color theme="1"/>
      <name val="Calibri"/>
      <family val="2"/>
      <charset val="204"/>
      <scheme val="minor"/>
    </font>
    <font>
      <sz val="11"/>
      <name val="Calibri"/>
      <family val="2"/>
      <charset val="204"/>
      <scheme val="minor"/>
    </font>
    <font>
      <b/>
      <sz val="14"/>
      <name val="Calibri"/>
      <family val="2"/>
      <scheme val="minor"/>
    </font>
    <font>
      <sz val="11"/>
      <name val="Calibri"/>
      <family val="2"/>
      <scheme val="minor"/>
    </font>
    <font>
      <sz val="11"/>
      <color rgb="FF000000"/>
      <name val="Calibri"/>
      <family val="2"/>
      <charset val="204"/>
      <scheme val="minor"/>
    </font>
    <font>
      <i/>
      <sz val="11"/>
      <color theme="1"/>
      <name val="Calibri"/>
      <family val="2"/>
      <charset val="204"/>
      <scheme val="minor"/>
    </font>
    <font>
      <b/>
      <i/>
      <sz val="11"/>
      <color theme="1"/>
      <name val="Calibri"/>
      <family val="2"/>
      <charset val="204"/>
      <scheme val="minor"/>
    </font>
    <font>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0000"/>
        <bgColor indexed="64"/>
      </patternFill>
    </fill>
  </fills>
  <borders count="8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indexed="64"/>
      </top>
      <bottom style="medium">
        <color indexed="64"/>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medium">
        <color rgb="FF000000"/>
      </left>
      <right/>
      <top/>
      <bottom style="medium">
        <color rgb="FF000000"/>
      </bottom>
      <diagonal/>
    </border>
    <border>
      <left/>
      <right style="thin">
        <color indexed="64"/>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indexed="64"/>
      </bottom>
      <diagonal/>
    </border>
    <border>
      <left style="medium">
        <color rgb="FF000000"/>
      </left>
      <right/>
      <top style="medium">
        <color rgb="FF000000"/>
      </top>
      <bottom/>
      <diagonal/>
    </border>
    <border>
      <left style="thin">
        <color indexed="64"/>
      </left>
      <right/>
      <top style="medium">
        <color indexed="64"/>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thin">
        <color indexed="64"/>
      </left>
      <right/>
      <top/>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indexed="64"/>
      </bottom>
      <diagonal/>
    </border>
    <border>
      <left/>
      <right style="thin">
        <color indexed="64"/>
      </right>
      <top/>
      <bottom style="medium">
        <color indexed="64"/>
      </bottom>
      <diagonal/>
    </border>
    <border>
      <left style="medium">
        <color rgb="FF000000"/>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medium">
        <color rgb="FF000000"/>
      </right>
      <top style="medium">
        <color indexed="64"/>
      </top>
      <bottom style="thin">
        <color indexed="64"/>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indexed="64"/>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style="medium">
        <color rgb="FF000000"/>
      </left>
      <right style="medium">
        <color indexed="64"/>
      </right>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rgb="FF000000"/>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s>
  <cellStyleXfs count="2">
    <xf numFmtId="0" fontId="0" fillId="0" borderId="0"/>
    <xf numFmtId="9" fontId="6" fillId="0" borderId="0" applyFont="0" applyFill="0" applyBorder="0" applyAlignment="0" applyProtection="0"/>
  </cellStyleXfs>
  <cellXfs count="451">
    <xf numFmtId="0" fontId="0" fillId="0" borderId="0" xfId="0"/>
    <xf numFmtId="0" fontId="5" fillId="0" borderId="0" xfId="0" applyFont="1"/>
    <xf numFmtId="0" fontId="7" fillId="0" borderId="0" xfId="0" applyFont="1"/>
    <xf numFmtId="0" fontId="8" fillId="0" borderId="0" xfId="0" applyFont="1" applyAlignment="1">
      <alignment vertical="center"/>
    </xf>
    <xf numFmtId="0" fontId="5" fillId="0" borderId="0" xfId="0" applyFont="1" applyAlignment="1">
      <alignment vertical="center"/>
    </xf>
    <xf numFmtId="49" fontId="0" fillId="2" borderId="6" xfId="0" applyNumberFormat="1" applyFill="1" applyBorder="1" applyAlignment="1">
      <alignment vertical="top" wrapText="1"/>
    </xf>
    <xf numFmtId="49" fontId="0" fillId="0" borderId="0" xfId="0" applyNumberFormat="1" applyAlignment="1">
      <alignment wrapText="1"/>
    </xf>
    <xf numFmtId="0" fontId="0" fillId="0" borderId="6" xfId="0" applyBorder="1"/>
    <xf numFmtId="4" fontId="0" fillId="0" borderId="6" xfId="0" applyNumberFormat="1" applyBorder="1" applyAlignment="1">
      <alignment horizontal="center"/>
    </xf>
    <xf numFmtId="4" fontId="0" fillId="2" borderId="6" xfId="0" applyNumberFormat="1" applyFill="1" applyBorder="1" applyAlignment="1">
      <alignment horizontal="center"/>
    </xf>
    <xf numFmtId="164" fontId="0" fillId="2" borderId="6" xfId="0" applyNumberFormat="1" applyFill="1" applyBorder="1" applyAlignment="1">
      <alignment horizontal="center"/>
    </xf>
    <xf numFmtId="165" fontId="0" fillId="2" borderId="6" xfId="0" applyNumberFormat="1" applyFill="1" applyBorder="1" applyAlignment="1">
      <alignment horizontal="center"/>
    </xf>
    <xf numFmtId="4" fontId="0" fillId="2" borderId="6" xfId="0" applyNumberFormat="1" applyFill="1" applyBorder="1" applyAlignment="1">
      <alignment horizontal="right"/>
    </xf>
    <xf numFmtId="0" fontId="0" fillId="0" borderId="7" xfId="0" applyBorder="1"/>
    <xf numFmtId="4" fontId="0" fillId="0" borderId="7" xfId="0" applyNumberFormat="1" applyBorder="1" applyAlignment="1">
      <alignment horizontal="center"/>
    </xf>
    <xf numFmtId="4" fontId="0" fillId="2" borderId="7" xfId="0" applyNumberFormat="1" applyFill="1" applyBorder="1" applyAlignment="1">
      <alignment horizontal="center"/>
    </xf>
    <xf numFmtId="164" fontId="0" fillId="2" borderId="7" xfId="0" applyNumberFormat="1" applyFill="1" applyBorder="1" applyAlignment="1">
      <alignment horizontal="center"/>
    </xf>
    <xf numFmtId="165" fontId="0" fillId="2" borderId="7" xfId="0" applyNumberFormat="1" applyFill="1" applyBorder="1" applyAlignment="1">
      <alignment horizontal="center"/>
    </xf>
    <xf numFmtId="4" fontId="0" fillId="2" borderId="7" xfId="0" applyNumberFormat="1" applyFill="1" applyBorder="1" applyAlignment="1">
      <alignment horizontal="right"/>
    </xf>
    <xf numFmtId="4" fontId="0" fillId="2" borderId="6" xfId="0" applyNumberFormat="1" applyFill="1" applyBorder="1" applyAlignment="1">
      <alignment horizontal="left"/>
    </xf>
    <xf numFmtId="0" fontId="0" fillId="0" borderId="6" xfId="0" applyBorder="1" applyAlignment="1">
      <alignment horizontal="center"/>
    </xf>
    <xf numFmtId="10" fontId="0" fillId="0" borderId="0" xfId="1" applyNumberFormat="1" applyFont="1" applyAlignment="1">
      <alignment horizontal="center"/>
    </xf>
    <xf numFmtId="4" fontId="0" fillId="0" borderId="6" xfId="0" applyNumberFormat="1" applyBorder="1" applyAlignment="1">
      <alignment horizontal="right"/>
    </xf>
    <xf numFmtId="10" fontId="0" fillId="0" borderId="6" xfId="1" applyNumberFormat="1" applyFont="1" applyBorder="1" applyAlignment="1">
      <alignment horizontal="center"/>
    </xf>
    <xf numFmtId="0" fontId="0" fillId="0" borderId="6" xfId="0" applyBorder="1" applyAlignment="1">
      <alignment horizontal="left"/>
    </xf>
    <xf numFmtId="10" fontId="0" fillId="0" borderId="6" xfId="0" applyNumberFormat="1" applyBorder="1" applyAlignment="1">
      <alignment horizontal="center" wrapText="1"/>
    </xf>
    <xf numFmtId="0" fontId="0" fillId="0" borderId="7" xfId="0" applyBorder="1" applyAlignment="1">
      <alignment horizontal="left"/>
    </xf>
    <xf numFmtId="0" fontId="0" fillId="0" borderId="7" xfId="0" applyBorder="1" applyAlignment="1">
      <alignment horizontal="center"/>
    </xf>
    <xf numFmtId="10" fontId="0" fillId="0" borderId="7" xfId="0" applyNumberFormat="1" applyBorder="1" applyAlignment="1">
      <alignment horizontal="center" wrapText="1"/>
    </xf>
    <xf numFmtId="4" fontId="0" fillId="0" borderId="7" xfId="0" applyNumberFormat="1" applyBorder="1" applyAlignment="1">
      <alignment horizontal="right"/>
    </xf>
    <xf numFmtId="4" fontId="0" fillId="2" borderId="6" xfId="0" applyNumberFormat="1" applyFill="1" applyBorder="1"/>
    <xf numFmtId="4" fontId="0" fillId="2" borderId="7" xfId="0" applyNumberFormat="1" applyFill="1" applyBorder="1"/>
    <xf numFmtId="4" fontId="4" fillId="0" borderId="6" xfId="0" applyNumberFormat="1" applyFont="1" applyBorder="1" applyAlignment="1">
      <alignment horizontal="center"/>
    </xf>
    <xf numFmtId="3" fontId="4" fillId="0" borderId="6" xfId="0" applyNumberFormat="1" applyFont="1" applyBorder="1" applyAlignment="1">
      <alignment horizontal="center"/>
    </xf>
    <xf numFmtId="0" fontId="4" fillId="0" borderId="6" xfId="0" applyFont="1" applyBorder="1" applyAlignment="1">
      <alignment horizontal="center" wrapText="1"/>
    </xf>
    <xf numFmtId="0" fontId="4" fillId="0" borderId="6" xfId="0" applyFont="1" applyBorder="1" applyAlignment="1">
      <alignment wrapText="1"/>
    </xf>
    <xf numFmtId="0" fontId="4" fillId="0" borderId="6" xfId="0" applyFont="1" applyBorder="1" applyAlignment="1">
      <alignment horizontal="center"/>
    </xf>
    <xf numFmtId="0" fontId="10" fillId="0" borderId="6" xfId="0" applyFont="1" applyBorder="1" applyAlignment="1">
      <alignment horizontal="center"/>
    </xf>
    <xf numFmtId="0" fontId="0" fillId="2" borderId="0" xfId="0" applyFill="1"/>
    <xf numFmtId="0" fontId="7" fillId="2" borderId="0" xfId="0" applyFont="1" applyFill="1"/>
    <xf numFmtId="0" fontId="7" fillId="2" borderId="2" xfId="0" applyFont="1" applyFill="1" applyBorder="1" applyAlignment="1">
      <alignment horizontal="center"/>
    </xf>
    <xf numFmtId="0" fontId="0" fillId="2" borderId="2" xfId="0" applyFill="1" applyBorder="1"/>
    <xf numFmtId="0" fontId="0" fillId="0" borderId="2" xfId="0" applyBorder="1"/>
    <xf numFmtId="0" fontId="0" fillId="0" borderId="9" xfId="0" applyBorder="1"/>
    <xf numFmtId="0" fontId="0" fillId="0" borderId="11" xfId="0" applyBorder="1"/>
    <xf numFmtId="0" fontId="0" fillId="2" borderId="6" xfId="0" applyFill="1" applyBorder="1" applyAlignment="1">
      <alignment horizontal="center"/>
    </xf>
    <xf numFmtId="4" fontId="0" fillId="2" borderId="6" xfId="0" applyNumberFormat="1" applyFill="1" applyBorder="1" applyAlignment="1">
      <alignment horizontal="center" vertical="center"/>
    </xf>
    <xf numFmtId="4" fontId="0" fillId="0" borderId="6" xfId="0" applyNumberFormat="1" applyBorder="1" applyAlignment="1">
      <alignment horizontal="center" vertical="center"/>
    </xf>
    <xf numFmtId="0" fontId="0" fillId="2" borderId="6" xfId="0" applyFill="1" applyBorder="1"/>
    <xf numFmtId="0" fontId="0" fillId="0" borderId="6" xfId="0" applyBorder="1" applyAlignment="1">
      <alignment wrapText="1"/>
    </xf>
    <xf numFmtId="4" fontId="0" fillId="2" borderId="20" xfId="0" applyNumberFormat="1" applyFill="1" applyBorder="1" applyAlignment="1">
      <alignment horizontal="center" vertical="center"/>
    </xf>
    <xf numFmtId="4" fontId="0" fillId="0" borderId="6" xfId="0" applyNumberFormat="1" applyBorder="1" applyAlignment="1">
      <alignment horizontal="center"/>
    </xf>
    <xf numFmtId="0" fontId="0" fillId="0" borderId="6" xfId="0" applyBorder="1" applyAlignment="1">
      <alignment horizontal="center" vertical="center"/>
    </xf>
    <xf numFmtId="0" fontId="0" fillId="2" borderId="6" xfId="0" applyFill="1" applyBorder="1" applyAlignment="1">
      <alignment horizontal="center" vertical="center"/>
    </xf>
    <xf numFmtId="0" fontId="13" fillId="2" borderId="0" xfId="0" applyFont="1" applyFill="1"/>
    <xf numFmtId="0" fontId="0" fillId="0" borderId="0" xfId="0" applyAlignment="1">
      <alignment horizontal="center"/>
    </xf>
    <xf numFmtId="164" fontId="0" fillId="2" borderId="6" xfId="0" applyNumberFormat="1" applyFill="1" applyBorder="1" applyAlignment="1">
      <alignment horizontal="center" vertical="center"/>
    </xf>
    <xf numFmtId="165" fontId="0" fillId="2" borderId="6" xfId="0" applyNumberFormat="1" applyFill="1" applyBorder="1" applyAlignment="1">
      <alignment horizontal="center" vertical="center"/>
    </xf>
    <xf numFmtId="4" fontId="0" fillId="2" borderId="13" xfId="0" applyNumberFormat="1" applyFill="1" applyBorder="1" applyAlignment="1">
      <alignment horizontal="center" vertical="center"/>
    </xf>
    <xf numFmtId="4" fontId="0" fillId="0" borderId="13" xfId="0" applyNumberFormat="1" applyBorder="1" applyAlignment="1">
      <alignment horizontal="center" vertical="center"/>
    </xf>
    <xf numFmtId="0" fontId="0" fillId="0" borderId="13" xfId="0" applyBorder="1" applyAlignment="1">
      <alignment horizontal="center" vertical="center"/>
    </xf>
    <xf numFmtId="0" fontId="4" fillId="2" borderId="0" xfId="0" applyFont="1" applyFill="1"/>
    <xf numFmtId="0" fontId="0" fillId="2" borderId="22" xfId="0" applyFill="1" applyBorder="1" applyAlignment="1">
      <alignment horizontal="center" vertical="center"/>
    </xf>
    <xf numFmtId="4" fontId="0" fillId="2" borderId="0" xfId="0" applyNumberFormat="1" applyFill="1" applyAlignment="1">
      <alignment horizontal="center" vertical="center"/>
    </xf>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4" fontId="0" fillId="2" borderId="23" xfId="0" applyNumberFormat="1" applyFill="1" applyBorder="1" applyAlignment="1">
      <alignment horizontal="center" vertical="center"/>
    </xf>
    <xf numFmtId="4" fontId="0" fillId="2" borderId="22" xfId="0" applyNumberFormat="1" applyFill="1" applyBorder="1"/>
    <xf numFmtId="0" fontId="0" fillId="0" borderId="20" xfId="0" applyBorder="1"/>
    <xf numFmtId="4" fontId="0" fillId="2" borderId="0" xfId="0" applyNumberFormat="1" applyFill="1" applyAlignment="1">
      <alignment horizontal="center"/>
    </xf>
    <xf numFmtId="164" fontId="0" fillId="2" borderId="0" xfId="0" applyNumberFormat="1" applyFill="1" applyAlignment="1">
      <alignment horizontal="center"/>
    </xf>
    <xf numFmtId="165" fontId="0" fillId="2" borderId="0" xfId="0" applyNumberFormat="1" applyFill="1" applyAlignment="1">
      <alignment horizontal="center"/>
    </xf>
    <xf numFmtId="4" fontId="0" fillId="2" borderId="0" xfId="0" applyNumberFormat="1" applyFill="1"/>
    <xf numFmtId="0" fontId="0" fillId="0" borderId="3" xfId="0" applyBorder="1"/>
    <xf numFmtId="4" fontId="0" fillId="0" borderId="0" xfId="0" applyNumberFormat="1" applyAlignment="1">
      <alignment horizontal="center" wrapText="1"/>
    </xf>
    <xf numFmtId="0" fontId="0" fillId="2" borderId="4" xfId="0" applyFill="1" applyBorder="1" applyAlignment="1">
      <alignment horizontal="center"/>
    </xf>
    <xf numFmtId="49" fontId="0" fillId="2" borderId="6" xfId="0" applyNumberFormat="1" applyFill="1" applyBorder="1" applyAlignment="1">
      <alignment wrapText="1"/>
    </xf>
    <xf numFmtId="4" fontId="0" fillId="2" borderId="24" xfId="0" applyNumberFormat="1" applyFill="1" applyBorder="1" applyAlignment="1">
      <alignment horizontal="center" vertical="center"/>
    </xf>
    <xf numFmtId="0" fontId="13" fillId="2" borderId="6" xfId="0" applyFont="1" applyFill="1" applyBorder="1"/>
    <xf numFmtId="0" fontId="4" fillId="2" borderId="6" xfId="0" applyFont="1" applyFill="1" applyBorder="1"/>
    <xf numFmtId="4" fontId="0" fillId="2" borderId="6" xfId="0" applyNumberFormat="1" applyFill="1" applyBorder="1" applyAlignment="1">
      <alignment horizontal="center" vertical="top" wrapText="1"/>
    </xf>
    <xf numFmtId="0" fontId="0" fillId="2" borderId="20" xfId="0" applyFill="1" applyBorder="1"/>
    <xf numFmtId="4" fontId="0" fillId="0" borderId="6" xfId="0" applyNumberFormat="1" applyBorder="1"/>
    <xf numFmtId="4" fontId="0" fillId="0" borderId="6" xfId="0" applyNumberFormat="1" applyBorder="1" applyAlignment="1">
      <alignment vertical="center"/>
    </xf>
    <xf numFmtId="4" fontId="0" fillId="2" borderId="20" xfId="0" applyNumberFormat="1" applyFill="1" applyBorder="1"/>
    <xf numFmtId="0" fontId="0" fillId="0" borderId="0" xfId="0" applyAlignment="1">
      <alignment horizontal="center" vertical="center"/>
    </xf>
    <xf numFmtId="4" fontId="0" fillId="0" borderId="0" xfId="0" applyNumberFormat="1" applyAlignment="1">
      <alignment horizontal="center"/>
    </xf>
    <xf numFmtId="0" fontId="0" fillId="2" borderId="25" xfId="0" applyFill="1" applyBorder="1" applyAlignment="1">
      <alignment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1" xfId="0" applyFont="1" applyBorder="1" applyAlignment="1">
      <alignment horizontal="center" vertical="center" wrapText="1"/>
    </xf>
    <xf numFmtId="4" fontId="14" fillId="0" borderId="33" xfId="0" applyNumberFormat="1" applyFont="1" applyBorder="1" applyAlignment="1">
      <alignment horizontal="center" vertical="center" wrapText="1"/>
    </xf>
    <xf numFmtId="4" fontId="14" fillId="0" borderId="33" xfId="0" applyNumberFormat="1" applyFont="1" applyBorder="1" applyAlignment="1">
      <alignment vertical="center" wrapText="1"/>
    </xf>
    <xf numFmtId="4" fontId="14" fillId="0" borderId="8" xfId="0" applyNumberFormat="1" applyFont="1" applyBorder="1" applyAlignment="1">
      <alignment vertical="center" wrapText="1"/>
    </xf>
    <xf numFmtId="4" fontId="14" fillId="0" borderId="2" xfId="0" applyNumberFormat="1" applyFont="1" applyBorder="1" applyAlignment="1">
      <alignment vertical="center" wrapText="1"/>
    </xf>
    <xf numFmtId="0" fontId="4" fillId="0" borderId="0" xfId="0" applyFont="1"/>
    <xf numFmtId="0" fontId="4" fillId="0" borderId="40"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7" xfId="0" applyFont="1" applyBorder="1" applyAlignment="1">
      <alignment horizontal="justify" vertical="center" wrapText="1"/>
    </xf>
    <xf numFmtId="4" fontId="4" fillId="0" borderId="0" xfId="0" applyNumberFormat="1" applyFont="1"/>
    <xf numFmtId="0" fontId="0" fillId="0" borderId="40" xfId="0" applyBorder="1" applyAlignment="1">
      <alignment horizontal="left"/>
    </xf>
    <xf numFmtId="4" fontId="4" fillId="0" borderId="2" xfId="0" applyNumberFormat="1" applyFont="1" applyBorder="1"/>
    <xf numFmtId="0" fontId="4" fillId="0" borderId="50" xfId="0" applyFont="1" applyBorder="1" applyAlignment="1">
      <alignment horizontal="justify" vertical="center" wrapText="1"/>
    </xf>
    <xf numFmtId="0" fontId="4" fillId="0" borderId="53" xfId="0" applyFont="1" applyBorder="1" applyAlignment="1">
      <alignment horizontal="justify" vertical="center" wrapText="1"/>
    </xf>
    <xf numFmtId="4" fontId="0" fillId="2" borderId="54" xfId="0" applyNumberFormat="1" applyFill="1" applyBorder="1" applyAlignment="1">
      <alignment horizontal="left"/>
    </xf>
    <xf numFmtId="0" fontId="4" fillId="2" borderId="40" xfId="0" applyFont="1" applyFill="1" applyBorder="1" applyAlignment="1">
      <alignment horizontal="justify" vertical="center" wrapText="1"/>
    </xf>
    <xf numFmtId="0" fontId="4" fillId="2" borderId="47" xfId="0" applyFont="1" applyFill="1" applyBorder="1" applyAlignment="1">
      <alignment horizontal="justify" vertical="center" wrapText="1"/>
    </xf>
    <xf numFmtId="4" fontId="4" fillId="0" borderId="11" xfId="0" applyNumberFormat="1" applyFont="1" applyBorder="1"/>
    <xf numFmtId="0" fontId="4" fillId="2" borderId="55" xfId="0" applyFont="1" applyFill="1" applyBorder="1" applyAlignment="1">
      <alignment horizontal="justify" vertical="center" wrapText="1"/>
    </xf>
    <xf numFmtId="0" fontId="0" fillId="0" borderId="54" xfId="0" applyBorder="1" applyAlignment="1">
      <alignment horizontal="left"/>
    </xf>
    <xf numFmtId="0" fontId="4" fillId="0" borderId="11" xfId="0" applyFont="1" applyBorder="1"/>
    <xf numFmtId="0" fontId="4" fillId="0" borderId="59" xfId="0" applyFont="1" applyBorder="1" applyAlignment="1">
      <alignment horizontal="justify" vertical="center" wrapText="1"/>
    </xf>
    <xf numFmtId="0" fontId="0" fillId="0" borderId="59" xfId="0" applyBorder="1"/>
    <xf numFmtId="0" fontId="0" fillId="0" borderId="40" xfId="0" applyBorder="1"/>
    <xf numFmtId="0" fontId="4" fillId="0" borderId="55" xfId="0" applyFont="1" applyBorder="1" applyAlignment="1">
      <alignment horizontal="justify" vertical="center" wrapText="1"/>
    </xf>
    <xf numFmtId="0" fontId="0" fillId="0" borderId="54" xfId="0" applyBorder="1"/>
    <xf numFmtId="4" fontId="4" fillId="0" borderId="2" xfId="0" applyNumberFormat="1" applyFont="1" applyBorder="1" applyAlignment="1">
      <alignment horizontal="center"/>
    </xf>
    <xf numFmtId="4" fontId="4" fillId="0" borderId="33" xfId="0" applyNumberFormat="1" applyFont="1" applyBorder="1"/>
    <xf numFmtId="4" fontId="0" fillId="0" borderId="0" xfId="0" applyNumberFormat="1"/>
    <xf numFmtId="0" fontId="3" fillId="0" borderId="39" xfId="0" applyFont="1" applyBorder="1" applyAlignment="1">
      <alignment horizontal="justify" vertical="center" wrapText="1"/>
    </xf>
    <xf numFmtId="0" fontId="3" fillId="0" borderId="50"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0" xfId="0" applyFont="1" applyAlignment="1">
      <alignment horizontal="justify" vertical="center" wrapText="1"/>
    </xf>
    <xf numFmtId="0" fontId="4" fillId="0" borderId="30" xfId="0" applyFont="1" applyBorder="1" applyAlignment="1">
      <alignment horizontal="justify" vertical="center" wrapText="1"/>
    </xf>
    <xf numFmtId="0" fontId="3" fillId="0" borderId="40" xfId="0" applyFont="1" applyBorder="1" applyAlignment="1">
      <alignment horizontal="left" vertical="center" wrapText="1"/>
    </xf>
    <xf numFmtId="0" fontId="3" fillId="0" borderId="40" xfId="0" applyFont="1" applyBorder="1" applyAlignment="1">
      <alignment horizontal="justify" vertical="center" wrapText="1"/>
    </xf>
    <xf numFmtId="0" fontId="2" fillId="0" borderId="50" xfId="0" applyFont="1" applyBorder="1" applyAlignment="1">
      <alignment horizontal="justify" vertical="center" wrapText="1"/>
    </xf>
    <xf numFmtId="0" fontId="2" fillId="0" borderId="44"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40" xfId="0" applyFont="1" applyBorder="1" applyAlignment="1">
      <alignment horizontal="left" vertical="center" wrapText="1"/>
    </xf>
    <xf numFmtId="0" fontId="2" fillId="0" borderId="40" xfId="0" applyFont="1" applyBorder="1" applyAlignment="1">
      <alignment horizontal="justify" vertical="center" wrapText="1"/>
    </xf>
    <xf numFmtId="0" fontId="4" fillId="2" borderId="0" xfId="0" applyFont="1" applyFill="1" applyBorder="1" applyAlignment="1">
      <alignment horizontal="center" vertical="center" wrapText="1"/>
    </xf>
    <xf numFmtId="0" fontId="2" fillId="0" borderId="53" xfId="0" applyFont="1" applyBorder="1" applyAlignment="1">
      <alignment horizontal="justify" vertical="center" wrapText="1"/>
    </xf>
    <xf numFmtId="0" fontId="2" fillId="0" borderId="47" xfId="0" applyFont="1" applyBorder="1" applyAlignment="1">
      <alignment horizontal="justify" vertical="center" wrapText="1"/>
    </xf>
    <xf numFmtId="0" fontId="2" fillId="0" borderId="55" xfId="0" applyFont="1" applyBorder="1" applyAlignment="1">
      <alignment horizontal="justify" vertical="center" wrapText="1"/>
    </xf>
    <xf numFmtId="0" fontId="2" fillId="2" borderId="47" xfId="0" applyFont="1" applyFill="1" applyBorder="1" applyAlignment="1">
      <alignment horizontal="justify" vertical="center" wrapText="1"/>
    </xf>
    <xf numFmtId="0" fontId="2" fillId="0" borderId="59" xfId="0" applyFont="1" applyBorder="1" applyAlignment="1">
      <alignment horizontal="justify" vertical="center" wrapText="1"/>
    </xf>
    <xf numFmtId="4" fontId="4" fillId="0" borderId="6" xfId="0" applyNumberFormat="1" applyFont="1" applyBorder="1" applyAlignment="1">
      <alignment horizontal="center"/>
    </xf>
    <xf numFmtId="0" fontId="4" fillId="0" borderId="37" xfId="0" applyFont="1" applyBorder="1" applyAlignment="1">
      <alignment horizontal="justify" vertical="center" wrapText="1"/>
    </xf>
    <xf numFmtId="0" fontId="2" fillId="0" borderId="29" xfId="0" applyFont="1" applyBorder="1" applyAlignment="1">
      <alignment horizontal="justify" vertical="center" wrapText="1"/>
    </xf>
    <xf numFmtId="0" fontId="2" fillId="0" borderId="39" xfId="0" applyFont="1" applyBorder="1" applyAlignment="1">
      <alignment horizontal="justify" vertical="center" wrapText="1"/>
    </xf>
    <xf numFmtId="4" fontId="14" fillId="0" borderId="9" xfId="0" applyNumberFormat="1" applyFont="1" applyBorder="1" applyAlignment="1">
      <alignment horizontal="center" vertical="center" wrapText="1"/>
    </xf>
    <xf numFmtId="0" fontId="3" fillId="0" borderId="29" xfId="0" applyFont="1" applyBorder="1" applyAlignment="1">
      <alignment horizontal="left" vertical="center" wrapText="1"/>
    </xf>
    <xf numFmtId="0" fontId="1" fillId="0" borderId="29" xfId="0" applyFont="1" applyBorder="1" applyAlignment="1">
      <alignment horizontal="left" vertical="center" wrapText="1"/>
    </xf>
    <xf numFmtId="0" fontId="1" fillId="0" borderId="44" xfId="0" applyFont="1" applyBorder="1" applyAlignment="1">
      <alignment horizontal="justify" vertical="center" wrapText="1"/>
    </xf>
    <xf numFmtId="0" fontId="1" fillId="0" borderId="50" xfId="0" applyFont="1" applyBorder="1" applyAlignment="1">
      <alignment horizontal="justify" vertical="center" wrapText="1"/>
    </xf>
    <xf numFmtId="4" fontId="4" fillId="0" borderId="1" xfId="0" applyNumberFormat="1" applyFont="1" applyBorder="1"/>
    <xf numFmtId="4" fontId="14" fillId="0" borderId="3" xfId="0" applyNumberFormat="1" applyFont="1" applyBorder="1" applyAlignment="1">
      <alignment horizontal="center" vertical="center" wrapText="1"/>
    </xf>
    <xf numFmtId="0" fontId="14" fillId="0" borderId="66" xfId="0" applyFont="1" applyBorder="1" applyAlignment="1">
      <alignment horizontal="center" vertical="center" wrapText="1"/>
    </xf>
    <xf numFmtId="0" fontId="14" fillId="0" borderId="3" xfId="0" applyFont="1" applyBorder="1" applyAlignment="1">
      <alignment horizontal="center" vertical="center" wrapText="1"/>
    </xf>
    <xf numFmtId="4" fontId="14" fillId="0" borderId="31" xfId="0" applyNumberFormat="1" applyFont="1" applyBorder="1" applyAlignment="1">
      <alignment horizontal="center" vertical="center" wrapText="1"/>
    </xf>
    <xf numFmtId="4" fontId="14" fillId="0" borderId="3" xfId="0" applyNumberFormat="1" applyFont="1" applyBorder="1" applyAlignment="1">
      <alignment vertical="center" wrapText="1"/>
    </xf>
    <xf numFmtId="4" fontId="4" fillId="0" borderId="3" xfId="0" applyNumberFormat="1" applyFont="1" applyBorder="1"/>
    <xf numFmtId="4" fontId="4" fillId="0" borderId="31" xfId="0" applyNumberFormat="1" applyFont="1" applyBorder="1"/>
    <xf numFmtId="4" fontId="4" fillId="0" borderId="3" xfId="0" applyNumberFormat="1" applyFont="1" applyBorder="1" applyAlignment="1">
      <alignment horizontal="center"/>
    </xf>
    <xf numFmtId="4" fontId="4" fillId="0" borderId="1" xfId="0" applyNumberFormat="1" applyFont="1" applyBorder="1" applyAlignment="1">
      <alignment horizontal="center"/>
    </xf>
    <xf numFmtId="4" fontId="4" fillId="0" borderId="2" xfId="0" applyNumberFormat="1" applyFont="1" applyBorder="1" applyAlignment="1">
      <alignment horizontal="center" wrapText="1"/>
    </xf>
    <xf numFmtId="4" fontId="4" fillId="0" borderId="3" xfId="0" applyNumberFormat="1" applyFont="1" applyBorder="1" applyAlignment="1">
      <alignment horizontal="center" wrapText="1"/>
    </xf>
    <xf numFmtId="4" fontId="14" fillId="0" borderId="1" xfId="0" applyNumberFormat="1" applyFont="1" applyBorder="1" applyAlignment="1">
      <alignment horizontal="center" vertical="center" wrapText="1"/>
    </xf>
    <xf numFmtId="4" fontId="14" fillId="0" borderId="74" xfId="0" applyNumberFormat="1" applyFont="1" applyBorder="1" applyAlignment="1">
      <alignment horizontal="center" vertical="center" wrapText="1"/>
    </xf>
    <xf numFmtId="0" fontId="4" fillId="0" borderId="2" xfId="0" applyFont="1" applyBorder="1"/>
    <xf numFmtId="4" fontId="4" fillId="0" borderId="34" xfId="0" applyNumberFormat="1" applyFont="1" applyBorder="1"/>
    <xf numFmtId="4" fontId="0" fillId="0" borderId="0" xfId="0" applyNumberFormat="1" applyBorder="1"/>
    <xf numFmtId="0" fontId="0" fillId="0" borderId="0" xfId="0" applyBorder="1"/>
    <xf numFmtId="4" fontId="14" fillId="0" borderId="78" xfId="0" applyNumberFormat="1" applyFont="1" applyBorder="1" applyAlignment="1">
      <alignment horizontal="center" vertical="center" wrapText="1"/>
    </xf>
    <xf numFmtId="4" fontId="15" fillId="0" borderId="78" xfId="0" applyNumberFormat="1" applyFont="1" applyBorder="1" applyAlignment="1">
      <alignment horizontal="center" vertical="center" wrapText="1"/>
    </xf>
    <xf numFmtId="4" fontId="4" fillId="0" borderId="71" xfId="0" applyNumberFormat="1" applyFont="1" applyBorder="1"/>
    <xf numFmtId="0" fontId="4" fillId="0" borderId="31" xfId="0" applyFont="1" applyBorder="1" applyAlignment="1">
      <alignment horizontal="justify" vertical="center" wrapText="1"/>
    </xf>
    <xf numFmtId="3" fontId="4" fillId="0" borderId="1" xfId="0" applyNumberFormat="1" applyFont="1" applyBorder="1" applyAlignment="1"/>
    <xf numFmtId="3" fontId="4" fillId="0" borderId="2" xfId="0" applyNumberFormat="1" applyFont="1" applyBorder="1" applyAlignment="1"/>
    <xf numFmtId="3" fontId="4" fillId="0" borderId="3" xfId="0" applyNumberFormat="1" applyFont="1" applyBorder="1" applyAlignment="1"/>
    <xf numFmtId="4" fontId="4" fillId="0" borderId="73" xfId="0" applyNumberFormat="1" applyFont="1" applyBorder="1"/>
    <xf numFmtId="4" fontId="4" fillId="0" borderId="2" xfId="0" applyNumberFormat="1" applyFont="1" applyFill="1" applyBorder="1" applyAlignment="1">
      <alignment horizontal="center"/>
    </xf>
    <xf numFmtId="0" fontId="11" fillId="0" borderId="8" xfId="0" applyFont="1" applyBorder="1" applyAlignment="1">
      <alignment horizontal="center"/>
    </xf>
    <xf numFmtId="0" fontId="12" fillId="0" borderId="2" xfId="0" applyFont="1" applyBorder="1" applyAlignment="1">
      <alignment horizontal="center"/>
    </xf>
    <xf numFmtId="0" fontId="12" fillId="0" borderId="9" xfId="0" applyFont="1" applyBorder="1" applyAlignment="1">
      <alignment horizontal="center"/>
    </xf>
    <xf numFmtId="0" fontId="0" fillId="0" borderId="13" xfId="0" applyBorder="1" applyAlignment="1">
      <alignment horizontal="center" vertical="top"/>
    </xf>
    <xf numFmtId="0" fontId="0" fillId="0" borderId="4" xfId="0" applyBorder="1" applyAlignment="1">
      <alignment horizontal="center" vertical="top"/>
    </xf>
    <xf numFmtId="49" fontId="0" fillId="0" borderId="4" xfId="0" applyNumberFormat="1" applyBorder="1" applyAlignment="1">
      <alignment horizontal="center" vertical="top" wrapText="1"/>
    </xf>
    <xf numFmtId="49" fontId="0" fillId="0" borderId="6" xfId="0" applyNumberFormat="1" applyBorder="1" applyAlignment="1">
      <alignment horizontal="center" vertical="top" wrapText="1"/>
    </xf>
    <xf numFmtId="49" fontId="0" fillId="2" borderId="4" xfId="0" applyNumberFormat="1" applyFill="1" applyBorder="1" applyAlignment="1">
      <alignment horizontal="center" vertical="top" wrapText="1"/>
    </xf>
    <xf numFmtId="49" fontId="0" fillId="2" borderId="6" xfId="0" applyNumberFormat="1" applyFill="1" applyBorder="1" applyAlignment="1">
      <alignment horizontal="center" vertical="top" wrapText="1"/>
    </xf>
    <xf numFmtId="49" fontId="0" fillId="2" borderId="13" xfId="0" applyNumberFormat="1" applyFill="1" applyBorder="1" applyAlignment="1">
      <alignment horizontal="center" vertical="top" wrapText="1"/>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49" fontId="0" fillId="2" borderId="5" xfId="0" applyNumberFormat="1" applyFill="1" applyBorder="1" applyAlignment="1">
      <alignment horizontal="center" vertical="top" wrapText="1"/>
    </xf>
    <xf numFmtId="0" fontId="7" fillId="0" borderId="8" xfId="0" applyFont="1" applyBorder="1" applyAlignment="1">
      <alignment horizontal="center"/>
    </xf>
    <xf numFmtId="0" fontId="0" fillId="0" borderId="2" xfId="0" applyBorder="1" applyAlignment="1">
      <alignment horizontal="center"/>
    </xf>
    <xf numFmtId="0" fontId="0" fillId="0" borderId="9" xfId="0" applyBorder="1" applyAlignment="1">
      <alignment horizontal="center"/>
    </xf>
    <xf numFmtId="0" fontId="7"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5" xfId="0" applyBorder="1" applyAlignment="1">
      <alignment horizontal="center" vertical="top"/>
    </xf>
    <xf numFmtId="49" fontId="0" fillId="0" borderId="5" xfId="0" applyNumberFormat="1" applyBorder="1" applyAlignment="1">
      <alignment horizontal="center" vertical="top" wrapText="1"/>
    </xf>
    <xf numFmtId="0" fontId="0" fillId="0" borderId="14" xfId="0"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7" fillId="0" borderId="10"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0" fillId="0" borderId="13"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4" fontId="0" fillId="0" borderId="21" xfId="0" applyNumberFormat="1"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21" xfId="0" applyBorder="1" applyAlignment="1">
      <alignment horizontal="center" vertical="center"/>
    </xf>
    <xf numFmtId="0" fontId="0" fillId="2" borderId="21" xfId="0" applyFill="1" applyBorder="1" applyAlignment="1">
      <alignment horizontal="center" vertical="center"/>
    </xf>
    <xf numFmtId="0" fontId="0" fillId="2" borderId="4" xfId="0" applyFill="1" applyBorder="1" applyAlignment="1">
      <alignment horizontal="center" vertical="center"/>
    </xf>
    <xf numFmtId="4" fontId="0" fillId="2" borderId="21" xfId="0" applyNumberFormat="1" applyFill="1" applyBorder="1" applyAlignment="1">
      <alignment horizontal="center" vertical="center"/>
    </xf>
    <xf numFmtId="4" fontId="0" fillId="2" borderId="4" xfId="0" applyNumberFormat="1" applyFill="1" applyBorder="1" applyAlignment="1">
      <alignment horizontal="center" vertical="center"/>
    </xf>
    <xf numFmtId="4" fontId="0" fillId="0" borderId="4" xfId="0" applyNumberFormat="1" applyBorder="1" applyAlignment="1">
      <alignment horizontal="center" vertical="center"/>
    </xf>
    <xf numFmtId="4" fontId="0" fillId="0" borderId="13" xfId="0" applyNumberFormat="1" applyBorder="1" applyAlignment="1">
      <alignment horizontal="center" vertical="center"/>
    </xf>
    <xf numFmtId="0" fontId="0" fillId="2" borderId="13" xfId="0" applyFill="1" applyBorder="1" applyAlignment="1">
      <alignment horizontal="center" vertical="center"/>
    </xf>
    <xf numFmtId="4" fontId="0" fillId="2" borderId="13" xfId="0" applyNumberFormat="1" applyFill="1" applyBorder="1" applyAlignment="1">
      <alignment horizontal="center" vertical="center"/>
    </xf>
    <xf numFmtId="4" fontId="0" fillId="0" borderId="4" xfId="0" applyNumberFormat="1" applyBorder="1" applyAlignment="1">
      <alignment horizontal="center" vertical="top" wrapText="1"/>
    </xf>
    <xf numFmtId="4" fontId="0" fillId="0" borderId="6" xfId="0" applyNumberFormat="1" applyBorder="1" applyAlignment="1">
      <alignment horizontal="center" vertical="top" wrapText="1"/>
    </xf>
    <xf numFmtId="4" fontId="0" fillId="0" borderId="21" xfId="0" applyNumberFormat="1" applyBorder="1" applyAlignment="1">
      <alignment horizontal="center" vertical="top" wrapText="1"/>
    </xf>
    <xf numFmtId="4" fontId="0" fillId="2" borderId="21" xfId="0" applyNumberFormat="1" applyFill="1" applyBorder="1" applyAlignment="1">
      <alignment horizontal="center"/>
    </xf>
    <xf numFmtId="4" fontId="0" fillId="2" borderId="13" xfId="0" applyNumberFormat="1" applyFill="1" applyBorder="1" applyAlignment="1">
      <alignment horizontal="center"/>
    </xf>
    <xf numFmtId="4" fontId="0" fillId="2" borderId="4" xfId="0" applyNumberFormat="1" applyFill="1" applyBorder="1" applyAlignment="1">
      <alignment horizontal="center"/>
    </xf>
    <xf numFmtId="4" fontId="0" fillId="0" borderId="21" xfId="0" applyNumberFormat="1" applyBorder="1" applyAlignment="1">
      <alignment horizontal="center"/>
    </xf>
    <xf numFmtId="4" fontId="0" fillId="0" borderId="13" xfId="0" applyNumberFormat="1" applyBorder="1" applyAlignment="1">
      <alignment horizontal="center"/>
    </xf>
    <xf numFmtId="4" fontId="0" fillId="0" borderId="4" xfId="0" applyNumberFormat="1" applyBorder="1" applyAlignment="1">
      <alignment horizontal="center"/>
    </xf>
    <xf numFmtId="0" fontId="0" fillId="2" borderId="4" xfId="0" applyFill="1" applyBorder="1" applyAlignment="1">
      <alignment horizontal="center" vertical="top" wrapText="1"/>
    </xf>
    <xf numFmtId="0" fontId="0" fillId="2" borderId="6" xfId="0" applyFill="1" applyBorder="1" applyAlignment="1">
      <alignment horizontal="center" vertical="top" wrapText="1"/>
    </xf>
    <xf numFmtId="0" fontId="0" fillId="0" borderId="4" xfId="0" applyBorder="1" applyAlignment="1">
      <alignment horizontal="center" vertical="top" wrapText="1"/>
    </xf>
    <xf numFmtId="0" fontId="0" fillId="0" borderId="6" xfId="0" applyBorder="1" applyAlignment="1">
      <alignment horizontal="center" vertical="top" wrapText="1"/>
    </xf>
    <xf numFmtId="0" fontId="0" fillId="0" borderId="13" xfId="0" applyBorder="1" applyAlignment="1">
      <alignment horizontal="center" vertical="top" wrapText="1"/>
    </xf>
    <xf numFmtId="0" fontId="7" fillId="2" borderId="1" xfId="0" applyFont="1" applyFill="1" applyBorder="1" applyAlignment="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xf>
    <xf numFmtId="0" fontId="0" fillId="2" borderId="13" xfId="0" applyFill="1" applyBorder="1" applyAlignment="1">
      <alignment horizontal="center" vertical="top" wrapText="1"/>
    </xf>
    <xf numFmtId="49" fontId="0" fillId="2" borderId="4" xfId="0" applyNumberFormat="1" applyFill="1" applyBorder="1" applyAlignment="1">
      <alignment horizontal="center" wrapText="1"/>
    </xf>
    <xf numFmtId="49" fontId="0" fillId="2" borderId="6" xfId="0" applyNumberFormat="1" applyFill="1" applyBorder="1" applyAlignment="1">
      <alignment horizontal="center" wrapText="1"/>
    </xf>
    <xf numFmtId="0" fontId="0" fillId="2" borderId="4" xfId="0" applyFill="1" applyBorder="1" applyAlignment="1">
      <alignment horizontal="center"/>
    </xf>
    <xf numFmtId="4" fontId="0" fillId="2" borderId="6" xfId="0" applyNumberFormat="1" applyFill="1" applyBorder="1" applyAlignment="1">
      <alignment horizontal="center" vertical="center"/>
    </xf>
    <xf numFmtId="4" fontId="0" fillId="0" borderId="4" xfId="0" applyNumberFormat="1" applyBorder="1" applyAlignment="1">
      <alignment horizontal="center" wrapText="1"/>
    </xf>
    <xf numFmtId="4" fontId="0" fillId="0" borderId="6" xfId="0" applyNumberFormat="1" applyBorder="1" applyAlignment="1">
      <alignment horizontal="center" wrapText="1"/>
    </xf>
    <xf numFmtId="4" fontId="0" fillId="0" borderId="21" xfId="0" applyNumberFormat="1" applyBorder="1" applyAlignment="1">
      <alignment horizontal="center" wrapText="1"/>
    </xf>
    <xf numFmtId="4" fontId="0" fillId="0" borderId="5" xfId="0" applyNumberFormat="1" applyBorder="1" applyAlignment="1">
      <alignment horizontal="center" wrapText="1"/>
    </xf>
    <xf numFmtId="0" fontId="0" fillId="2" borderId="5" xfId="0" applyFill="1" applyBorder="1" applyAlignment="1">
      <alignment horizontal="center" vertical="top" wrapText="1"/>
    </xf>
    <xf numFmtId="0" fontId="0" fillId="0" borderId="5" xfId="0" applyBorder="1" applyAlignment="1">
      <alignment horizontal="center" vertical="top" wrapText="1"/>
    </xf>
    <xf numFmtId="4" fontId="0" fillId="0" borderId="5" xfId="0" applyNumberFormat="1" applyBorder="1" applyAlignment="1">
      <alignment horizontal="center" vertical="top" wrapText="1"/>
    </xf>
    <xf numFmtId="49" fontId="0" fillId="2" borderId="5" xfId="0" applyNumberFormat="1" applyFill="1" applyBorder="1" applyAlignment="1">
      <alignment horizontal="center" wrapText="1"/>
    </xf>
    <xf numFmtId="0" fontId="0" fillId="2" borderId="14" xfId="0"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4" fontId="0" fillId="0" borderId="13" xfId="0" applyNumberFormat="1" applyBorder="1" applyAlignment="1">
      <alignment horizontal="center" wrapText="1"/>
    </xf>
    <xf numFmtId="4" fontId="0" fillId="0" borderId="23" xfId="0" applyNumberFormat="1" applyBorder="1" applyAlignment="1">
      <alignment horizontal="center" vertical="top" wrapText="1"/>
    </xf>
    <xf numFmtId="4" fontId="0" fillId="0" borderId="6" xfId="0" applyNumberFormat="1" applyBorder="1" applyAlignment="1">
      <alignment horizontal="center" vertical="center"/>
    </xf>
    <xf numFmtId="0" fontId="0" fillId="0" borderId="6" xfId="0" applyBorder="1" applyAlignment="1">
      <alignment horizontal="center" vertical="center"/>
    </xf>
    <xf numFmtId="4" fontId="0" fillId="0" borderId="13" xfId="0" applyNumberFormat="1" applyBorder="1" applyAlignment="1">
      <alignment horizontal="center" vertical="top" wrapText="1"/>
    </xf>
    <xf numFmtId="4" fontId="4" fillId="0" borderId="6" xfId="0" applyNumberFormat="1" applyFont="1" applyBorder="1" applyAlignment="1">
      <alignment horizontal="center" vertical="top" wrapText="1"/>
    </xf>
    <xf numFmtId="4" fontId="0" fillId="0" borderId="6" xfId="0" applyNumberFormat="1" applyBorder="1" applyAlignment="1">
      <alignment horizontal="center"/>
    </xf>
    <xf numFmtId="0" fontId="0" fillId="2" borderId="4" xfId="0" applyFill="1" applyBorder="1" applyAlignment="1">
      <alignment horizontal="center" vertical="top"/>
    </xf>
    <xf numFmtId="4" fontId="4" fillId="0" borderId="1" xfId="0" applyNumberFormat="1" applyFont="1" applyBorder="1" applyAlignment="1">
      <alignment horizontal="center"/>
    </xf>
    <xf numFmtId="4" fontId="4" fillId="0" borderId="2" xfId="0" applyNumberFormat="1" applyFont="1" applyBorder="1" applyAlignment="1">
      <alignment horizontal="center"/>
    </xf>
    <xf numFmtId="4" fontId="4" fillId="0" borderId="3" xfId="0" applyNumberFormat="1" applyFont="1" applyBorder="1" applyAlignment="1">
      <alignment horizontal="center"/>
    </xf>
    <xf numFmtId="4" fontId="14" fillId="0" borderId="1" xfId="0" applyNumberFormat="1" applyFont="1" applyBorder="1" applyAlignment="1">
      <alignment horizontal="center" vertical="center" wrapText="1"/>
    </xf>
    <xf numFmtId="4" fontId="14" fillId="0" borderId="2" xfId="0" applyNumberFormat="1" applyFont="1" applyBorder="1" applyAlignment="1">
      <alignment horizontal="center" vertical="center" wrapText="1"/>
    </xf>
    <xf numFmtId="4" fontId="14" fillId="0" borderId="3" xfId="0" applyNumberFormat="1" applyFont="1" applyBorder="1" applyAlignment="1">
      <alignment horizontal="center" vertical="center" wrapText="1"/>
    </xf>
    <xf numFmtId="0" fontId="4" fillId="0" borderId="4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1" xfId="0" applyFont="1" applyBorder="1" applyAlignment="1">
      <alignment horizontal="center" vertical="center" wrapText="1"/>
    </xf>
    <xf numFmtId="4" fontId="4" fillId="0" borderId="71" xfId="0" applyNumberFormat="1" applyFont="1" applyBorder="1" applyAlignment="1">
      <alignment horizontal="center" wrapText="1"/>
    </xf>
    <xf numFmtId="4" fontId="4" fillId="0" borderId="34" xfId="0" applyNumberFormat="1" applyFont="1" applyBorder="1" applyAlignment="1">
      <alignment horizontal="center" wrapText="1"/>
    </xf>
    <xf numFmtId="4" fontId="4" fillId="0" borderId="66" xfId="0" applyNumberFormat="1" applyFont="1" applyBorder="1" applyAlignment="1">
      <alignment horizontal="center" wrapText="1"/>
    </xf>
    <xf numFmtId="4" fontId="4" fillId="0" borderId="10" xfId="0" applyNumberFormat="1" applyFont="1" applyBorder="1" applyAlignment="1">
      <alignment horizontal="center" wrapText="1"/>
    </xf>
    <xf numFmtId="4" fontId="4" fillId="0" borderId="11" xfId="0" applyNumberFormat="1" applyFont="1" applyBorder="1" applyAlignment="1">
      <alignment horizontal="center" wrapText="1"/>
    </xf>
    <xf numFmtId="4" fontId="4" fillId="0" borderId="12" xfId="0" applyNumberFormat="1" applyFont="1" applyBorder="1" applyAlignment="1">
      <alignment horizontal="center" wrapText="1"/>
    </xf>
    <xf numFmtId="4" fontId="4" fillId="0" borderId="34" xfId="0" applyNumberFormat="1" applyFont="1" applyBorder="1" applyAlignment="1">
      <alignment horizontal="center"/>
    </xf>
    <xf numFmtId="4" fontId="4" fillId="0" borderId="0" xfId="0" applyNumberFormat="1" applyFont="1" applyBorder="1" applyAlignment="1">
      <alignment horizontal="center"/>
    </xf>
    <xf numFmtId="4" fontId="4" fillId="0" borderId="11" xfId="0" applyNumberFormat="1" applyFont="1" applyBorder="1" applyAlignment="1">
      <alignment horizontal="center"/>
    </xf>
    <xf numFmtId="4" fontId="4" fillId="0" borderId="68" xfId="0" applyNumberFormat="1" applyFont="1" applyBorder="1" applyAlignment="1">
      <alignment horizontal="center"/>
    </xf>
    <xf numFmtId="4" fontId="4" fillId="0" borderId="77" xfId="0" applyNumberFormat="1" applyFont="1" applyBorder="1" applyAlignment="1">
      <alignment horizontal="center"/>
    </xf>
    <xf numFmtId="4" fontId="4" fillId="0" borderId="78" xfId="0" applyNumberFormat="1" applyFont="1" applyBorder="1" applyAlignment="1">
      <alignment horizontal="center"/>
    </xf>
    <xf numFmtId="0" fontId="4" fillId="0" borderId="3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78" xfId="0" applyFont="1" applyBorder="1" applyAlignment="1">
      <alignment horizontal="center" vertical="center" wrapText="1"/>
    </xf>
    <xf numFmtId="4" fontId="4" fillId="0" borderId="28" xfId="0" applyNumberFormat="1" applyFont="1" applyBorder="1" applyAlignment="1">
      <alignment horizontal="center"/>
    </xf>
    <xf numFmtId="4" fontId="4" fillId="0" borderId="1" xfId="0" applyNumberFormat="1" applyFont="1" applyBorder="1" applyAlignment="1">
      <alignment horizontal="center" vertical="center"/>
    </xf>
    <xf numFmtId="4" fontId="4" fillId="0" borderId="2" xfId="0" applyNumberFormat="1" applyFont="1" applyBorder="1" applyAlignment="1">
      <alignment horizontal="center" vertical="center"/>
    </xf>
    <xf numFmtId="4" fontId="4" fillId="0" borderId="3" xfId="0" applyNumberFormat="1" applyFont="1" applyBorder="1" applyAlignment="1">
      <alignment horizontal="center" vertical="center"/>
    </xf>
    <xf numFmtId="4" fontId="4" fillId="0" borderId="72" xfId="0" applyNumberFormat="1" applyFont="1" applyBorder="1" applyAlignment="1">
      <alignment horizontal="center"/>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10" xfId="0" applyFont="1" applyBorder="1" applyAlignment="1">
      <alignment horizontal="center" vertical="center" wrapText="1"/>
    </xf>
    <xf numFmtId="4" fontId="4" fillId="0" borderId="71" xfId="0" applyNumberFormat="1" applyFont="1" applyBorder="1" applyAlignment="1">
      <alignment horizontal="center"/>
    </xf>
    <xf numFmtId="4" fontId="4" fillId="0" borderId="10" xfId="0" applyNumberFormat="1" applyFont="1" applyBorder="1" applyAlignment="1">
      <alignment horizontal="center"/>
    </xf>
    <xf numFmtId="4" fontId="4" fillId="0" borderId="66" xfId="0" applyNumberFormat="1" applyFont="1" applyBorder="1" applyAlignment="1">
      <alignment horizontal="center"/>
    </xf>
    <xf numFmtId="4" fontId="4" fillId="0" borderId="81" xfId="0" applyNumberFormat="1" applyFont="1" applyBorder="1" applyAlignment="1">
      <alignment horizontal="center"/>
    </xf>
    <xf numFmtId="4" fontId="4" fillId="0" borderId="12" xfId="0" applyNumberFormat="1" applyFont="1" applyBorder="1" applyAlignment="1">
      <alignment horizontal="center"/>
    </xf>
    <xf numFmtId="0" fontId="4" fillId="2" borderId="66" xfId="0" applyFont="1" applyFill="1" applyBorder="1" applyAlignment="1">
      <alignment horizontal="center" vertical="center" wrapText="1"/>
    </xf>
    <xf numFmtId="0" fontId="4" fillId="2" borderId="81" xfId="0" applyFont="1" applyFill="1" applyBorder="1" applyAlignment="1">
      <alignment horizontal="center" vertical="center" wrapText="1"/>
    </xf>
    <xf numFmtId="0" fontId="4" fillId="2" borderId="12" xfId="0" applyFont="1" applyFill="1" applyBorder="1" applyAlignment="1">
      <alignment horizontal="center" vertical="center" wrapText="1"/>
    </xf>
    <xf numFmtId="4" fontId="4" fillId="0" borderId="72" xfId="0" applyNumberFormat="1" applyFont="1" applyBorder="1" applyAlignment="1">
      <alignment horizontal="center" wrapText="1"/>
    </xf>
    <xf numFmtId="4" fontId="4" fillId="0" borderId="0" xfId="0" applyNumberFormat="1" applyFont="1" applyBorder="1" applyAlignment="1">
      <alignment horizontal="center" wrapText="1"/>
    </xf>
    <xf numFmtId="4" fontId="4" fillId="0" borderId="81" xfId="0" applyNumberFormat="1" applyFont="1" applyBorder="1" applyAlignment="1">
      <alignment horizontal="center" wrapText="1"/>
    </xf>
    <xf numFmtId="0" fontId="4" fillId="0" borderId="66" xfId="0" applyFont="1" applyBorder="1" applyAlignment="1">
      <alignment horizontal="center" vertical="center" wrapText="1"/>
    </xf>
    <xf numFmtId="0" fontId="4" fillId="0" borderId="12" xfId="0" applyFont="1" applyBorder="1" applyAlignment="1">
      <alignment horizontal="center" vertical="center" wrapText="1"/>
    </xf>
    <xf numFmtId="4" fontId="4" fillId="2" borderId="71" xfId="0" applyNumberFormat="1" applyFont="1" applyFill="1" applyBorder="1" applyAlignment="1">
      <alignment horizontal="center"/>
    </xf>
    <xf numFmtId="4" fontId="4" fillId="2" borderId="34" xfId="0" applyNumberFormat="1" applyFont="1" applyFill="1" applyBorder="1" applyAlignment="1">
      <alignment horizontal="center"/>
    </xf>
    <xf numFmtId="4" fontId="4" fillId="2" borderId="66" xfId="0" applyNumberFormat="1" applyFont="1" applyFill="1" applyBorder="1" applyAlignment="1">
      <alignment horizontal="center"/>
    </xf>
    <xf numFmtId="4" fontId="4" fillId="2" borderId="10" xfId="0" applyNumberFormat="1" applyFont="1" applyFill="1" applyBorder="1" applyAlignment="1">
      <alignment horizontal="center"/>
    </xf>
    <xf numFmtId="4" fontId="4" fillId="2" borderId="11" xfId="0" applyNumberFormat="1" applyFont="1" applyFill="1" applyBorder="1" applyAlignment="1">
      <alignment horizontal="center"/>
    </xf>
    <xf numFmtId="4" fontId="4" fillId="2" borderId="12" xfId="0" applyNumberFormat="1" applyFont="1" applyFill="1" applyBorder="1" applyAlignment="1">
      <alignment horizontal="center"/>
    </xf>
    <xf numFmtId="4" fontId="4" fillId="3" borderId="31" xfId="0" applyNumberFormat="1" applyFont="1" applyFill="1" applyBorder="1" applyAlignment="1">
      <alignment horizontal="center"/>
    </xf>
    <xf numFmtId="4" fontId="4" fillId="0" borderId="31" xfId="0" applyNumberFormat="1" applyFont="1" applyBorder="1" applyAlignment="1">
      <alignment horizontal="center"/>
    </xf>
    <xf numFmtId="4" fontId="0" fillId="0" borderId="31" xfId="0" applyNumberFormat="1" applyBorder="1" applyAlignment="1">
      <alignment horizontal="center"/>
    </xf>
    <xf numFmtId="4" fontId="0" fillId="0" borderId="31" xfId="0" applyNumberFormat="1" applyFill="1" applyBorder="1" applyAlignment="1">
      <alignment horizontal="center"/>
    </xf>
    <xf numFmtId="4" fontId="0" fillId="3" borderId="31" xfId="0" applyNumberFormat="1" applyFill="1" applyBorder="1" applyAlignment="1">
      <alignment horizontal="center"/>
    </xf>
    <xf numFmtId="4" fontId="4" fillId="0" borderId="31" xfId="0" applyNumberFormat="1" applyFont="1" applyFill="1" applyBorder="1" applyAlignment="1">
      <alignment horizontal="center"/>
    </xf>
    <xf numFmtId="0" fontId="4" fillId="0" borderId="31" xfId="0" applyFont="1" applyBorder="1" applyAlignment="1">
      <alignment horizontal="center"/>
    </xf>
    <xf numFmtId="4" fontId="4" fillId="0" borderId="31" xfId="0" applyNumberFormat="1" applyFont="1" applyBorder="1" applyAlignment="1">
      <alignment horizontal="center" wrapText="1"/>
    </xf>
    <xf numFmtId="4" fontId="4" fillId="0" borderId="31" xfId="0" applyNumberFormat="1" applyFont="1" applyFill="1" applyBorder="1" applyAlignment="1">
      <alignment horizontal="center" wrapText="1"/>
    </xf>
    <xf numFmtId="4" fontId="4" fillId="3" borderId="31" xfId="0" applyNumberFormat="1" applyFont="1" applyFill="1" applyBorder="1" applyAlignment="1">
      <alignment horizontal="center" wrapText="1"/>
    </xf>
    <xf numFmtId="4" fontId="0" fillId="2" borderId="31" xfId="0" applyNumberFormat="1" applyFill="1" applyBorder="1" applyAlignment="1">
      <alignment horizontal="center"/>
    </xf>
    <xf numFmtId="4" fontId="4" fillId="0" borderId="1" xfId="0" applyNumberFormat="1" applyFont="1" applyBorder="1" applyAlignment="1">
      <alignment horizontal="center" wrapText="1"/>
    </xf>
    <xf numFmtId="4" fontId="4" fillId="2" borderId="31" xfId="0" applyNumberFormat="1" applyFont="1" applyFill="1" applyBorder="1" applyAlignment="1">
      <alignment horizontal="center"/>
    </xf>
    <xf numFmtId="4" fontId="4" fillId="0" borderId="75" xfId="0" applyNumberFormat="1" applyFont="1" applyBorder="1" applyAlignment="1">
      <alignment horizontal="center"/>
    </xf>
    <xf numFmtId="0" fontId="4" fillId="2" borderId="45"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5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45" xfId="0" applyFont="1" applyFill="1" applyBorder="1" applyAlignment="1">
      <alignment horizontal="justify" vertical="center" wrapText="1"/>
    </xf>
    <xf numFmtId="0" fontId="4" fillId="2" borderId="29" xfId="0" applyFont="1" applyFill="1" applyBorder="1" applyAlignment="1">
      <alignment horizontal="justify" vertical="center" wrapText="1"/>
    </xf>
    <xf numFmtId="0" fontId="13" fillId="0" borderId="44" xfId="0" applyFont="1" applyBorder="1" applyAlignment="1">
      <alignment horizontal="justify" vertical="center" wrapText="1"/>
    </xf>
    <xf numFmtId="0" fontId="13" fillId="0" borderId="29"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37" xfId="0" applyFont="1" applyBorder="1" applyAlignment="1">
      <alignment horizontal="justify" vertical="center" wrapText="1"/>
    </xf>
    <xf numFmtId="4" fontId="4" fillId="3" borderId="5" xfId="0" applyNumberFormat="1" applyFont="1" applyFill="1" applyBorder="1" applyAlignment="1">
      <alignment horizontal="center"/>
    </xf>
    <xf numFmtId="0" fontId="2" fillId="0" borderId="45" xfId="0" applyFont="1" applyBorder="1" applyAlignment="1">
      <alignment horizontal="justify" vertical="center" wrapText="1"/>
    </xf>
    <xf numFmtId="0" fontId="2" fillId="0" borderId="29" xfId="0" applyFont="1" applyBorder="1" applyAlignment="1">
      <alignment horizontal="justify" vertical="center" wrapText="1"/>
    </xf>
    <xf numFmtId="0" fontId="13" fillId="0" borderId="44" xfId="0" applyFont="1" applyFill="1" applyBorder="1" applyAlignment="1">
      <alignment horizontal="justify" vertical="center" wrapText="1"/>
    </xf>
    <xf numFmtId="0" fontId="13" fillId="0" borderId="29" xfId="0" applyFont="1" applyFill="1" applyBorder="1" applyAlignment="1">
      <alignment horizontal="justify" vertical="center" wrapText="1"/>
    </xf>
    <xf numFmtId="0" fontId="2" fillId="0" borderId="70"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1" xfId="0" applyFont="1" applyBorder="1" applyAlignment="1">
      <alignment horizontal="justify" vertical="center" wrapText="1"/>
    </xf>
    <xf numFmtId="0" fontId="1" fillId="0" borderId="62" xfId="0" applyFont="1" applyBorder="1" applyAlignment="1">
      <alignment horizontal="justify" vertical="center" wrapText="1"/>
    </xf>
    <xf numFmtId="0" fontId="2" fillId="0" borderId="43" xfId="0" applyFont="1" applyBorder="1" applyAlignment="1">
      <alignment horizontal="justify" vertical="center" wrapText="1"/>
    </xf>
    <xf numFmtId="4" fontId="4" fillId="3" borderId="13" xfId="0" applyNumberFormat="1" applyFont="1" applyFill="1" applyBorder="1" applyAlignment="1">
      <alignment horizontal="center"/>
    </xf>
    <xf numFmtId="4" fontId="4" fillId="0" borderId="46" xfId="0" applyNumberFormat="1" applyFont="1" applyBorder="1" applyAlignment="1">
      <alignment horizontal="center"/>
    </xf>
    <xf numFmtId="0" fontId="2" fillId="0" borderId="39" xfId="0" applyFont="1" applyBorder="1" applyAlignment="1">
      <alignment horizontal="left" vertical="center" wrapText="1"/>
    </xf>
    <xf numFmtId="0" fontId="2" fillId="0" borderId="29" xfId="0" applyFont="1" applyBorder="1" applyAlignment="1">
      <alignment horizontal="left" vertical="center" wrapText="1"/>
    </xf>
    <xf numFmtId="0" fontId="2" fillId="0" borderId="39"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60" xfId="0" applyFont="1" applyBorder="1" applyAlignment="1">
      <alignment horizontal="left" vertical="center" wrapText="1"/>
    </xf>
    <xf numFmtId="0" fontId="2" fillId="0" borderId="64" xfId="0" applyFont="1" applyBorder="1" applyAlignment="1">
      <alignment horizontal="left" vertical="center" wrapText="1"/>
    </xf>
    <xf numFmtId="0" fontId="13" fillId="0" borderId="39" xfId="0" applyFont="1" applyFill="1" applyBorder="1" applyAlignment="1">
      <alignment horizontal="justify" vertical="center" wrapText="1"/>
    </xf>
    <xf numFmtId="0" fontId="13" fillId="2" borderId="39" xfId="0" applyFont="1" applyFill="1" applyBorder="1" applyAlignment="1">
      <alignment horizontal="justify" vertical="center" wrapText="1"/>
    </xf>
    <xf numFmtId="0" fontId="13" fillId="2" borderId="29" xfId="0" applyFont="1" applyFill="1" applyBorder="1" applyAlignment="1">
      <alignment horizontal="justify" vertical="center" wrapText="1"/>
    </xf>
    <xf numFmtId="0" fontId="4" fillId="0" borderId="41" xfId="0" applyFont="1" applyBorder="1" applyAlignment="1">
      <alignment horizontal="justify" vertical="center" wrapText="1"/>
    </xf>
    <xf numFmtId="4" fontId="4" fillId="3" borderId="32" xfId="0" applyNumberFormat="1" applyFont="1" applyFill="1" applyBorder="1" applyAlignment="1">
      <alignment horizontal="center"/>
    </xf>
    <xf numFmtId="4" fontId="4" fillId="0" borderId="35" xfId="0" applyNumberFormat="1" applyFont="1" applyBorder="1" applyAlignment="1">
      <alignment horizontal="center"/>
    </xf>
    <xf numFmtId="0" fontId="2" fillId="0" borderId="50" xfId="0" applyFont="1" applyBorder="1" applyAlignment="1">
      <alignment horizontal="left" vertical="center" wrapText="1"/>
    </xf>
    <xf numFmtId="0" fontId="2" fillId="0" borderId="50" xfId="0" applyFont="1" applyFill="1" applyBorder="1" applyAlignment="1">
      <alignment horizontal="left" vertical="center" wrapText="1"/>
    </xf>
    <xf numFmtId="0" fontId="2" fillId="0" borderId="61" xfId="0" applyFont="1" applyBorder="1" applyAlignment="1">
      <alignment horizontal="left" vertical="center" wrapText="1"/>
    </xf>
    <xf numFmtId="0" fontId="2" fillId="0" borderId="62" xfId="0" applyFont="1" applyBorder="1" applyAlignment="1">
      <alignment horizontal="left" vertical="center" wrapText="1"/>
    </xf>
    <xf numFmtId="0" fontId="0" fillId="2" borderId="62" xfId="0" applyFill="1" applyBorder="1" applyAlignment="1">
      <alignment horizontal="left" vertical="center"/>
    </xf>
    <xf numFmtId="0" fontId="0" fillId="2" borderId="29" xfId="0" applyFill="1" applyBorder="1" applyAlignment="1">
      <alignment horizontal="left" vertical="center"/>
    </xf>
    <xf numFmtId="0" fontId="2" fillId="0" borderId="63" xfId="0" applyFont="1" applyBorder="1" applyAlignment="1">
      <alignment horizontal="left" vertical="center" wrapText="1"/>
    </xf>
    <xf numFmtId="0" fontId="0" fillId="0" borderId="39" xfId="0" applyFill="1" applyBorder="1" applyAlignment="1">
      <alignment horizontal="left" vertical="center"/>
    </xf>
    <xf numFmtId="0" fontId="0" fillId="0" borderId="29" xfId="0" applyFill="1" applyBorder="1" applyAlignment="1">
      <alignment horizontal="left" vertical="center"/>
    </xf>
    <xf numFmtId="0" fontId="2" fillId="0" borderId="65" xfId="0" applyFont="1" applyBorder="1" applyAlignment="1">
      <alignment horizontal="left" vertical="center" wrapText="1"/>
    </xf>
    <xf numFmtId="0" fontId="4" fillId="0" borderId="39" xfId="0" applyFont="1" applyBorder="1" applyAlignment="1">
      <alignment horizontal="justify" vertical="center" wrapText="1"/>
    </xf>
    <xf numFmtId="0" fontId="4" fillId="0" borderId="29" xfId="0" applyFont="1" applyBorder="1" applyAlignment="1">
      <alignment horizontal="justify" vertical="center" wrapText="1"/>
    </xf>
    <xf numFmtId="0" fontId="4" fillId="0" borderId="60" xfId="0" applyFont="1" applyBorder="1" applyAlignment="1">
      <alignment horizontal="justify" vertical="center" wrapText="1"/>
    </xf>
    <xf numFmtId="0" fontId="4" fillId="0" borderId="64" xfId="0" applyFont="1" applyBorder="1" applyAlignment="1">
      <alignment horizontal="justify" vertical="center" wrapText="1"/>
    </xf>
    <xf numFmtId="4" fontId="4" fillId="0" borderId="5" xfId="0" applyNumberFormat="1" applyFont="1" applyBorder="1" applyAlignment="1">
      <alignment horizontal="center"/>
    </xf>
    <xf numFmtId="4" fontId="4" fillId="0" borderId="32" xfId="0" applyNumberFormat="1" applyFont="1" applyBorder="1" applyAlignment="1">
      <alignment horizontal="center"/>
    </xf>
    <xf numFmtId="4" fontId="4" fillId="3" borderId="42" xfId="0" applyNumberFormat="1" applyFont="1" applyFill="1" applyBorder="1" applyAlignment="1">
      <alignment horizontal="center"/>
    </xf>
    <xf numFmtId="4" fontId="4" fillId="3" borderId="35" xfId="0" applyNumberFormat="1" applyFont="1" applyFill="1" applyBorder="1" applyAlignment="1">
      <alignment horizontal="center"/>
    </xf>
    <xf numFmtId="4" fontId="4" fillId="0" borderId="54" xfId="0" applyNumberFormat="1" applyFont="1" applyBorder="1" applyAlignment="1">
      <alignment horizontal="center"/>
    </xf>
    <xf numFmtId="4" fontId="4" fillId="0" borderId="69" xfId="0" applyNumberFormat="1" applyFont="1" applyBorder="1" applyAlignment="1">
      <alignment horizontal="center"/>
    </xf>
    <xf numFmtId="4" fontId="4" fillId="3" borderId="79" xfId="0" applyNumberFormat="1" applyFont="1" applyFill="1" applyBorder="1" applyAlignment="1">
      <alignment horizontal="center"/>
    </xf>
    <xf numFmtId="4" fontId="4" fillId="3" borderId="67" xfId="0" applyNumberFormat="1" applyFont="1" applyFill="1" applyBorder="1" applyAlignment="1">
      <alignment horizontal="center"/>
    </xf>
    <xf numFmtId="4" fontId="4" fillId="3" borderId="68" xfId="0" applyNumberFormat="1" applyFont="1" applyFill="1" applyBorder="1" applyAlignment="1">
      <alignment horizontal="center"/>
    </xf>
    <xf numFmtId="4" fontId="4" fillId="3" borderId="78" xfId="0" applyNumberFormat="1" applyFont="1" applyFill="1" applyBorder="1" applyAlignment="1">
      <alignment horizontal="center"/>
    </xf>
    <xf numFmtId="4" fontId="4" fillId="3" borderId="71" xfId="0" applyNumberFormat="1" applyFont="1" applyFill="1" applyBorder="1" applyAlignment="1">
      <alignment horizontal="center"/>
    </xf>
    <xf numFmtId="4" fontId="4" fillId="3" borderId="10" xfId="0" applyNumberFormat="1" applyFont="1" applyFill="1" applyBorder="1" applyAlignment="1">
      <alignment horizontal="center"/>
    </xf>
    <xf numFmtId="0" fontId="4" fillId="0" borderId="78" xfId="0" applyFont="1" applyBorder="1" applyAlignment="1">
      <alignment horizontal="center"/>
    </xf>
    <xf numFmtId="4" fontId="0" fillId="2" borderId="68" xfId="0" applyNumberFormat="1" applyFill="1" applyBorder="1" applyAlignment="1">
      <alignment horizontal="center"/>
    </xf>
    <xf numFmtId="4" fontId="0" fillId="2" borderId="78" xfId="0" applyNumberFormat="1" applyFill="1" applyBorder="1" applyAlignment="1">
      <alignment horizontal="center"/>
    </xf>
    <xf numFmtId="4" fontId="4" fillId="3" borderId="77" xfId="0" applyNumberFormat="1" applyFont="1" applyFill="1" applyBorder="1" applyAlignment="1">
      <alignment horizontal="center"/>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4" fillId="0" borderId="43" xfId="0" applyFont="1" applyBorder="1" applyAlignment="1">
      <alignment horizontal="justify" vertical="center" wrapText="1"/>
    </xf>
    <xf numFmtId="0" fontId="1" fillId="0" borderId="45" xfId="0" applyFont="1" applyBorder="1" applyAlignment="1">
      <alignment horizontal="justify" vertical="center" wrapText="1"/>
    </xf>
    <xf numFmtId="4" fontId="4" fillId="0" borderId="76" xfId="0" applyNumberFormat="1" applyFont="1" applyBorder="1" applyAlignment="1">
      <alignment horizontal="center"/>
    </xf>
    <xf numFmtId="4" fontId="4" fillId="0" borderId="13" xfId="0" applyNumberFormat="1" applyFont="1" applyBorder="1" applyAlignment="1">
      <alignment horizontal="center"/>
    </xf>
    <xf numFmtId="4" fontId="4" fillId="3" borderId="46" xfId="0" applyNumberFormat="1" applyFont="1" applyFill="1" applyBorder="1" applyAlignment="1">
      <alignment horizontal="center"/>
    </xf>
    <xf numFmtId="4" fontId="4" fillId="0" borderId="36" xfId="0" applyNumberFormat="1" applyFont="1" applyBorder="1" applyAlignment="1">
      <alignment horizontal="center"/>
    </xf>
    <xf numFmtId="4" fontId="4" fillId="0" borderId="51" xfId="0" applyNumberFormat="1" applyFont="1" applyBorder="1" applyAlignment="1">
      <alignment horizontal="center"/>
    </xf>
    <xf numFmtId="4" fontId="4" fillId="0" borderId="38" xfId="0" applyNumberFormat="1" applyFont="1" applyBorder="1" applyAlignment="1">
      <alignment horizontal="center"/>
    </xf>
    <xf numFmtId="4" fontId="4" fillId="3" borderId="80" xfId="0" applyNumberFormat="1" applyFont="1" applyFill="1" applyBorder="1" applyAlignment="1">
      <alignment horizontal="center"/>
    </xf>
    <xf numFmtId="4" fontId="4" fillId="3" borderId="1" xfId="0" applyNumberFormat="1" applyFont="1" applyFill="1" applyBorder="1" applyAlignment="1">
      <alignment horizontal="center"/>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27" xfId="0" applyFont="1" applyBorder="1" applyAlignment="1">
      <alignment horizontal="center" vertical="center" wrapText="1"/>
    </xf>
    <xf numFmtId="0" fontId="1" fillId="0" borderId="41" xfId="0" applyFont="1" applyBorder="1" applyAlignment="1">
      <alignment horizontal="justify" vertical="center" wrapText="1"/>
    </xf>
    <xf numFmtId="4" fontId="4" fillId="2" borderId="54" xfId="0" applyNumberFormat="1" applyFont="1" applyFill="1" applyBorder="1" applyAlignment="1">
      <alignment horizontal="center"/>
    </xf>
    <xf numFmtId="4" fontId="4" fillId="2" borderId="76" xfId="0" applyNumberFormat="1" applyFont="1" applyFill="1" applyBorder="1" applyAlignment="1">
      <alignment horizontal="center"/>
    </xf>
    <xf numFmtId="4" fontId="4" fillId="2" borderId="69" xfId="0" applyNumberFormat="1" applyFont="1" applyFill="1" applyBorder="1" applyAlignment="1">
      <alignment horizontal="center"/>
    </xf>
    <xf numFmtId="4" fontId="0" fillId="2" borderId="77" xfId="0" applyNumberFormat="1" applyFill="1" applyBorder="1" applyAlignment="1">
      <alignment horizontal="center"/>
    </xf>
    <xf numFmtId="0" fontId="13" fillId="0" borderId="39" xfId="0" applyFont="1" applyBorder="1" applyAlignment="1">
      <alignment horizontal="justify" vertical="center" wrapText="1"/>
    </xf>
    <xf numFmtId="4" fontId="4" fillId="0" borderId="0" xfId="0" applyNumberFormat="1" applyFont="1" applyAlignment="1">
      <alignment horizontal="center"/>
    </xf>
    <xf numFmtId="0" fontId="4" fillId="0" borderId="0" xfId="0" applyFont="1" applyAlignment="1">
      <alignment horizontal="center" vertical="center" wrapText="1"/>
    </xf>
    <xf numFmtId="0" fontId="4" fillId="0" borderId="52" xfId="0" applyFont="1" applyBorder="1" applyAlignment="1">
      <alignment horizontal="center" vertical="center" wrapText="1"/>
    </xf>
    <xf numFmtId="0" fontId="5" fillId="0" borderId="58" xfId="0" applyFont="1" applyBorder="1" applyAlignment="1">
      <alignment horizontal="center" vertical="center" wrapText="1"/>
    </xf>
    <xf numFmtId="4" fontId="4" fillId="3" borderId="73" xfId="0" applyNumberFormat="1" applyFont="1" applyFill="1" applyBorder="1" applyAlignment="1">
      <alignment horizontal="center"/>
    </xf>
    <xf numFmtId="0" fontId="4" fillId="2" borderId="39" xfId="0" applyFont="1" applyFill="1" applyBorder="1" applyAlignment="1">
      <alignment horizontal="justify" vertical="center" wrapText="1"/>
    </xf>
    <xf numFmtId="4" fontId="4" fillId="0" borderId="73" xfId="0" applyNumberFormat="1" applyFont="1" applyBorder="1" applyAlignment="1">
      <alignment horizontal="center"/>
    </xf>
    <xf numFmtId="0" fontId="13" fillId="2" borderId="44" xfId="0" applyFont="1" applyFill="1" applyBorder="1" applyAlignment="1">
      <alignment horizontal="justify" vertical="center" wrapText="1"/>
    </xf>
    <xf numFmtId="4" fontId="0" fillId="0" borderId="34" xfId="0" applyNumberFormat="1" applyBorder="1" applyAlignment="1">
      <alignment horizontal="center"/>
    </xf>
    <xf numFmtId="4" fontId="0" fillId="0" borderId="11" xfId="0" applyNumberFormat="1" applyBorder="1" applyAlignment="1">
      <alignment horizontal="center"/>
    </xf>
    <xf numFmtId="4" fontId="4" fillId="0" borderId="31" xfId="0" applyNumberFormat="1" applyFont="1" applyBorder="1" applyAlignment="1">
      <alignment horizontal="center" vertical="center" wrapText="1"/>
    </xf>
    <xf numFmtId="0" fontId="5" fillId="0" borderId="30" xfId="0" applyFont="1" applyBorder="1" applyAlignment="1">
      <alignment horizontal="center" vertical="center" wrapText="1"/>
    </xf>
    <xf numFmtId="0" fontId="4" fillId="0" borderId="31" xfId="0" applyFont="1" applyBorder="1" applyAlignment="1">
      <alignment horizontal="justify" vertical="center" wrapText="1"/>
    </xf>
    <xf numFmtId="4" fontId="10" fillId="3" borderId="31" xfId="0" applyNumberFormat="1" applyFont="1" applyFill="1" applyBorder="1" applyAlignment="1">
      <alignment horizontal="center" wrapText="1"/>
    </xf>
    <xf numFmtId="4" fontId="14" fillId="0" borderId="0" xfId="0" applyNumberFormat="1" applyFont="1" applyBorder="1" applyAlignment="1">
      <alignment horizontal="center" vertical="center" wrapText="1"/>
    </xf>
    <xf numFmtId="4" fontId="14" fillId="0" borderId="11" xfId="0" applyNumberFormat="1" applyFont="1" applyBorder="1" applyAlignment="1">
      <alignment horizontal="center" vertical="center" wrapText="1"/>
    </xf>
    <xf numFmtId="0" fontId="3" fillId="0" borderId="39" xfId="0" applyFont="1" applyBorder="1" applyAlignment="1">
      <alignment horizontal="left" vertical="center" wrapText="1"/>
    </xf>
    <xf numFmtId="0" fontId="3" fillId="0" borderId="50" xfId="0" applyFont="1" applyBorder="1" applyAlignment="1">
      <alignment horizontal="left" vertical="center" wrapText="1"/>
    </xf>
    <xf numFmtId="0" fontId="1" fillId="0" borderId="41" xfId="0" applyFont="1" applyBorder="1" applyAlignment="1">
      <alignment horizontal="left" vertical="center" wrapText="1"/>
    </xf>
    <xf numFmtId="0" fontId="1" fillId="0" borderId="52" xfId="0" applyFont="1" applyBorder="1" applyAlignment="1">
      <alignment horizontal="left" vertical="center" wrapText="1"/>
    </xf>
    <xf numFmtId="0" fontId="3" fillId="0" borderId="31" xfId="0" applyFont="1" applyBorder="1" applyAlignment="1">
      <alignment horizontal="left" vertical="center" wrapText="1"/>
    </xf>
    <xf numFmtId="0" fontId="3" fillId="0" borderId="62" xfId="0" applyFont="1" applyBorder="1" applyAlignment="1">
      <alignment horizontal="left" vertical="center" wrapText="1"/>
    </xf>
    <xf numFmtId="0" fontId="3" fillId="0" borderId="29" xfId="0" applyFont="1" applyBorder="1" applyAlignment="1">
      <alignment horizontal="left" vertical="center" wrapText="1"/>
    </xf>
    <xf numFmtId="0" fontId="0" fillId="2" borderId="70" xfId="0" applyFill="1" applyBorder="1" applyAlignment="1">
      <alignment horizontal="left" vertical="center"/>
    </xf>
    <xf numFmtId="0" fontId="0" fillId="2" borderId="37" xfId="0" applyFill="1" applyBorder="1" applyAlignment="1">
      <alignment horizontal="left" vertical="center"/>
    </xf>
    <xf numFmtId="0" fontId="1" fillId="0" borderId="37" xfId="0" applyFont="1" applyBorder="1" applyAlignment="1">
      <alignment horizontal="left" vertical="center" wrapText="1"/>
    </xf>
    <xf numFmtId="0" fontId="0" fillId="0" borderId="41" xfId="0" applyBorder="1" applyAlignment="1">
      <alignment horizontal="left" vertical="center"/>
    </xf>
    <xf numFmtId="0" fontId="0" fillId="0" borderId="37" xfId="0" applyBorder="1" applyAlignment="1">
      <alignment horizontal="left" vertical="center"/>
    </xf>
    <xf numFmtId="0" fontId="5" fillId="0" borderId="0"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0" xfId="0" applyFont="1" applyAlignment="1">
      <alignment horizontal="center" vertical="center" wrapText="1"/>
    </xf>
    <xf numFmtId="0" fontId="16" fillId="0" borderId="52" xfId="0" applyFont="1" applyBorder="1" applyAlignment="1">
      <alignment horizontal="center" vertical="center" wrapText="1"/>
    </xf>
    <xf numFmtId="0" fontId="16" fillId="0" borderId="11" xfId="0" applyFont="1" applyBorder="1" applyAlignment="1">
      <alignment horizontal="center" vertical="center" wrapText="1"/>
    </xf>
    <xf numFmtId="4" fontId="4" fillId="0" borderId="79" xfId="0" applyNumberFormat="1" applyFont="1" applyBorder="1" applyAlignment="1">
      <alignment horizontal="center"/>
    </xf>
    <xf numFmtId="4" fontId="0" fillId="0" borderId="68" xfId="0" applyNumberFormat="1" applyBorder="1" applyAlignment="1">
      <alignment horizontal="center"/>
    </xf>
    <xf numFmtId="4" fontId="0" fillId="0" borderId="78" xfId="0" applyNumberFormat="1" applyBorder="1" applyAlignment="1">
      <alignment horizontal="center"/>
    </xf>
    <xf numFmtId="4" fontId="4" fillId="0" borderId="82" xfId="0" applyNumberFormat="1" applyFont="1" applyBorder="1" applyAlignment="1">
      <alignment horizontal="center"/>
    </xf>
    <xf numFmtId="4" fontId="4" fillId="0" borderId="53" xfId="0" applyNumberFormat="1" applyFont="1" applyBorder="1" applyAlignment="1">
      <alignment horizontal="center"/>
    </xf>
    <xf numFmtId="4" fontId="4" fillId="0" borderId="67" xfId="0" applyNumberFormat="1" applyFont="1" applyBorder="1" applyAlignment="1">
      <alignment horizontal="center"/>
    </xf>
  </cellXfs>
  <cellStyles count="2">
    <cellStyle name="Обычный" xfId="0" builtinId="0"/>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20&#1088;&#1077;&#1075;&#1080;&#1086;&#1085;&#1086;&#1074;%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осковская область"/>
      <sheetName val="9 регионов"/>
      <sheetName val="КСЛП"/>
      <sheetName val="КСГ и схемы лечения"/>
      <sheetName val="Тамбовская обл с ценами изЖВНЛП"/>
      <sheetName val="Группировка по регионам по ТЗ"/>
    </sheetNames>
    <sheetDataSet>
      <sheetData sheetId="0"/>
      <sheetData sheetId="1">
        <row r="30">
          <cell r="L30">
            <v>106563.17623465801</v>
          </cell>
        </row>
        <row r="156">
          <cell r="L156">
            <v>101308.27555416961</v>
          </cell>
        </row>
        <row r="157">
          <cell r="L157">
            <v>200861.68752473284</v>
          </cell>
        </row>
        <row r="158">
          <cell r="L158">
            <v>314556.29050604161</v>
          </cell>
        </row>
        <row r="159">
          <cell r="L159">
            <v>420860.81648718088</v>
          </cell>
        </row>
        <row r="160">
          <cell r="L160">
            <v>811827.31749857927</v>
          </cell>
        </row>
      </sheetData>
      <sheetData sheetId="2"/>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61"/>
  <sheetViews>
    <sheetView workbookViewId="0">
      <selection activeCell="D242" sqref="D242"/>
    </sheetView>
  </sheetViews>
  <sheetFormatPr defaultRowHeight="15" x14ac:dyDescent="0.25"/>
  <cols>
    <col min="1" max="1" width="11" customWidth="1"/>
    <col min="2" max="2" width="16.85546875" customWidth="1"/>
    <col min="3" max="3" width="13.140625" customWidth="1"/>
    <col min="4" max="4" width="17.42578125" customWidth="1"/>
    <col min="5" max="5" width="19.7109375" customWidth="1"/>
    <col min="6" max="6" width="35.85546875" customWidth="1"/>
    <col min="7" max="7" width="19.85546875" customWidth="1"/>
    <col min="8" max="8" width="18.28515625" customWidth="1"/>
    <col min="9" max="9" width="19.42578125" customWidth="1"/>
    <col min="10" max="10" width="21.42578125" customWidth="1"/>
    <col min="11" max="13" width="27.7109375" customWidth="1"/>
  </cols>
  <sheetData>
    <row r="1" spans="1:16" ht="18.75" x14ac:dyDescent="0.3">
      <c r="A1" s="1" t="s">
        <v>0</v>
      </c>
      <c r="B1" s="2"/>
      <c r="I1" s="3"/>
    </row>
    <row r="2" spans="1:16" ht="18.75" x14ac:dyDescent="0.3">
      <c r="A2" s="4" t="s">
        <v>1</v>
      </c>
      <c r="B2" s="2"/>
      <c r="I2" s="3"/>
    </row>
    <row r="3" spans="1:16" x14ac:dyDescent="0.25">
      <c r="A3" t="s">
        <v>2</v>
      </c>
    </row>
    <row r="4" spans="1:16" x14ac:dyDescent="0.25">
      <c r="A4" t="s">
        <v>3</v>
      </c>
    </row>
    <row r="5" spans="1:16" x14ac:dyDescent="0.25">
      <c r="A5" t="s">
        <v>4</v>
      </c>
    </row>
    <row r="6" spans="1:16" x14ac:dyDescent="0.25">
      <c r="A6" t="s">
        <v>328</v>
      </c>
    </row>
    <row r="7" spans="1:16" x14ac:dyDescent="0.25">
      <c r="A7" t="s">
        <v>6</v>
      </c>
    </row>
    <row r="8" spans="1:16" x14ac:dyDescent="0.25">
      <c r="A8" t="s">
        <v>7</v>
      </c>
    </row>
    <row r="9" spans="1:16" ht="19.5" thickBot="1" x14ac:dyDescent="0.35">
      <c r="B9" s="2"/>
    </row>
    <row r="10" spans="1:16" ht="19.5" thickBot="1" x14ac:dyDescent="0.35">
      <c r="A10" s="185" t="s">
        <v>8</v>
      </c>
      <c r="B10" s="186"/>
      <c r="C10" s="186"/>
      <c r="D10" s="186"/>
      <c r="E10" s="186"/>
      <c r="F10" s="186"/>
      <c r="G10" s="186"/>
      <c r="H10" s="186"/>
      <c r="I10" s="186"/>
      <c r="J10" s="186"/>
      <c r="K10" s="187"/>
      <c r="L10" t="s">
        <v>9</v>
      </c>
    </row>
    <row r="11" spans="1:16" ht="15" customHeight="1" x14ac:dyDescent="0.25">
      <c r="A11" s="204"/>
      <c r="B11" s="180" t="s">
        <v>10</v>
      </c>
      <c r="C11" s="180" t="s">
        <v>11</v>
      </c>
      <c r="D11" s="180" t="s">
        <v>12</v>
      </c>
      <c r="E11" s="179" t="s">
        <v>13</v>
      </c>
      <c r="F11" s="179"/>
      <c r="G11" s="179"/>
      <c r="H11" s="182" t="s">
        <v>14</v>
      </c>
      <c r="I11" s="182" t="s">
        <v>15</v>
      </c>
      <c r="J11" s="188" t="s">
        <v>16</v>
      </c>
      <c r="K11" s="182" t="s">
        <v>17</v>
      </c>
    </row>
    <row r="12" spans="1:16" ht="76.5" customHeight="1" x14ac:dyDescent="0.25">
      <c r="A12" s="205"/>
      <c r="B12" s="181"/>
      <c r="C12" s="181"/>
      <c r="D12" s="181"/>
      <c r="E12" s="5" t="s">
        <v>18</v>
      </c>
      <c r="F12" s="5" t="s">
        <v>19</v>
      </c>
      <c r="G12" s="5" t="s">
        <v>20</v>
      </c>
      <c r="H12" s="183"/>
      <c r="I12" s="183"/>
      <c r="J12" s="182"/>
      <c r="K12" s="183"/>
      <c r="L12" s="6"/>
      <c r="M12" s="6"/>
      <c r="N12" s="6"/>
      <c r="O12" s="6"/>
      <c r="P12" s="6"/>
    </row>
    <row r="13" spans="1:16" x14ac:dyDescent="0.25">
      <c r="A13" s="7" t="s">
        <v>21</v>
      </c>
      <c r="B13" s="8">
        <v>23456.23</v>
      </c>
      <c r="C13" s="8">
        <v>4.2300000000000004</v>
      </c>
      <c r="D13" s="9">
        <v>17.54</v>
      </c>
      <c r="E13" s="10">
        <v>1</v>
      </c>
      <c r="F13" s="11" t="s">
        <v>22</v>
      </c>
      <c r="G13" s="11"/>
      <c r="H13" s="10">
        <v>1</v>
      </c>
      <c r="I13" s="9">
        <f>B13*C13*((1-D13/100)+D13/100*1*1)</f>
        <v>99219.852900000013</v>
      </c>
      <c r="J13" s="9">
        <f t="shared" ref="J13:J22" si="0">B13*C13*((1-D13/100)+D13/100*1*1)</f>
        <v>99219.852900000013</v>
      </c>
      <c r="K13" s="12">
        <f>B13*C13*((1-D13/100)+D13/100*1*1.2)</f>
        <v>102700.48533973201</v>
      </c>
    </row>
    <row r="14" spans="1:16" x14ac:dyDescent="0.25">
      <c r="A14" s="7" t="s">
        <v>23</v>
      </c>
      <c r="B14" s="8">
        <v>23456.23</v>
      </c>
      <c r="C14" s="8">
        <v>8.49</v>
      </c>
      <c r="D14" s="9">
        <v>7.19</v>
      </c>
      <c r="E14" s="10">
        <v>1</v>
      </c>
      <c r="F14" s="11" t="s">
        <v>22</v>
      </c>
      <c r="G14" s="11"/>
      <c r="H14" s="10">
        <v>1</v>
      </c>
      <c r="I14" s="9">
        <f>B14*C14*((1-D14/100)+D14/100*1*1)</f>
        <v>199143.3927</v>
      </c>
      <c r="J14" s="9">
        <f t="shared" si="0"/>
        <v>199143.3927</v>
      </c>
      <c r="K14" s="12">
        <f>B14*C14*((1-D14/100)+D14/100*1*1.2)</f>
        <v>202007.074687026</v>
      </c>
    </row>
    <row r="15" spans="1:16" x14ac:dyDescent="0.25">
      <c r="A15" s="7" t="s">
        <v>24</v>
      </c>
      <c r="B15" s="8">
        <v>23456.23</v>
      </c>
      <c r="C15" s="8">
        <v>13.38</v>
      </c>
      <c r="D15" s="9">
        <v>1.89</v>
      </c>
      <c r="E15" s="10">
        <v>1</v>
      </c>
      <c r="F15" s="11" t="s">
        <v>22</v>
      </c>
      <c r="G15" s="11"/>
      <c r="H15" s="10">
        <v>1</v>
      </c>
      <c r="I15" s="9">
        <f>B15*C15*((1-D15/100)+D15/100*1*1)</f>
        <v>313844.35740000004</v>
      </c>
      <c r="J15" s="9">
        <f t="shared" si="0"/>
        <v>313844.35740000004</v>
      </c>
      <c r="K15" s="12">
        <f>B15*C15*((1-D15/100)+D15/100*1*1.2)</f>
        <v>315030.68907097203</v>
      </c>
      <c r="L15" t="s">
        <v>25</v>
      </c>
    </row>
    <row r="16" spans="1:16" x14ac:dyDescent="0.25">
      <c r="A16" s="7" t="s">
        <v>26</v>
      </c>
      <c r="B16" s="8">
        <v>23456.23</v>
      </c>
      <c r="C16" s="8">
        <v>17.89</v>
      </c>
      <c r="D16" s="9">
        <v>2.44</v>
      </c>
      <c r="E16" s="10">
        <v>1</v>
      </c>
      <c r="F16" s="11" t="s">
        <v>22</v>
      </c>
      <c r="G16" s="11"/>
      <c r="H16" s="10">
        <v>1</v>
      </c>
      <c r="I16" s="9">
        <f t="shared" ref="I16:I22" si="1">B16*C16*((1-D16/100)+D16/100*1*1)</f>
        <v>419631.9547</v>
      </c>
      <c r="J16" s="9">
        <f t="shared" si="0"/>
        <v>419631.9547</v>
      </c>
      <c r="K16" s="12">
        <f>B16*C16*((1-D16/100)+D16/100*1*1.2)</f>
        <v>421679.75863893598</v>
      </c>
    </row>
    <row r="17" spans="1:12" x14ac:dyDescent="0.25">
      <c r="A17" s="7" t="s">
        <v>27</v>
      </c>
      <c r="B17" s="8">
        <v>23456.23</v>
      </c>
      <c r="C17" s="8">
        <v>34.58</v>
      </c>
      <c r="D17" s="9">
        <v>0.73</v>
      </c>
      <c r="E17" s="10">
        <v>1</v>
      </c>
      <c r="F17" s="11" t="s">
        <v>22</v>
      </c>
      <c r="G17" s="11"/>
      <c r="H17" s="10">
        <v>1</v>
      </c>
      <c r="I17" s="9">
        <f t="shared" si="1"/>
        <v>811116.43339999998</v>
      </c>
      <c r="J17" s="9">
        <f t="shared" si="0"/>
        <v>811116.43339999998</v>
      </c>
      <c r="K17" s="12">
        <f>B17*C17*((1-D17/100)+D17/100*1*1.2)</f>
        <v>812300.66339276405</v>
      </c>
    </row>
    <row r="18" spans="1:12" x14ac:dyDescent="0.25">
      <c r="A18" s="7" t="s">
        <v>28</v>
      </c>
      <c r="B18" s="8">
        <v>13285.05</v>
      </c>
      <c r="C18" s="8">
        <v>7.73</v>
      </c>
      <c r="D18" s="9">
        <v>3.76</v>
      </c>
      <c r="E18" s="10">
        <v>1</v>
      </c>
      <c r="F18" s="11">
        <v>1</v>
      </c>
      <c r="G18" s="11"/>
      <c r="H18" s="10">
        <v>1</v>
      </c>
      <c r="I18" s="9">
        <f t="shared" si="1"/>
        <v>102693.4365</v>
      </c>
      <c r="J18" s="9">
        <f t="shared" si="0"/>
        <v>102693.4365</v>
      </c>
      <c r="K18" s="12">
        <f>B18*C18*((1-D18/100)+D18/100*1*1)</f>
        <v>102693.4365</v>
      </c>
    </row>
    <row r="19" spans="1:12" x14ac:dyDescent="0.25">
      <c r="A19" s="7" t="s">
        <v>29</v>
      </c>
      <c r="B19" s="8">
        <v>13285.05</v>
      </c>
      <c r="C19" s="8">
        <v>11.25</v>
      </c>
      <c r="D19" s="9">
        <v>6.78</v>
      </c>
      <c r="E19" s="10">
        <v>1</v>
      </c>
      <c r="F19" s="11">
        <v>1</v>
      </c>
      <c r="G19" s="11"/>
      <c r="H19" s="10">
        <v>1</v>
      </c>
      <c r="I19" s="9">
        <f t="shared" si="1"/>
        <v>149456.8125</v>
      </c>
      <c r="J19" s="9">
        <f t="shared" si="0"/>
        <v>149456.8125</v>
      </c>
      <c r="K19" s="12">
        <f>B19*C19*((1-D19/100)+D19/100*1*1)</f>
        <v>149456.8125</v>
      </c>
    </row>
    <row r="20" spans="1:12" x14ac:dyDescent="0.25">
      <c r="A20" s="7" t="s">
        <v>30</v>
      </c>
      <c r="B20" s="8">
        <v>13285.05</v>
      </c>
      <c r="C20" s="8">
        <v>15.26</v>
      </c>
      <c r="D20" s="9">
        <v>0.43</v>
      </c>
      <c r="E20" s="10">
        <v>1</v>
      </c>
      <c r="F20" s="11">
        <v>1</v>
      </c>
      <c r="G20" s="11"/>
      <c r="H20" s="10">
        <v>1</v>
      </c>
      <c r="I20" s="9">
        <f t="shared" si="1"/>
        <v>202729.86299999998</v>
      </c>
      <c r="J20" s="9">
        <f t="shared" si="0"/>
        <v>202729.86299999998</v>
      </c>
      <c r="K20" s="12">
        <f>B20*C20*((1-D20/100)+D20/100*1*1)</f>
        <v>202729.86299999998</v>
      </c>
    </row>
    <row r="21" spans="1:12" x14ac:dyDescent="0.25">
      <c r="A21" s="7" t="s">
        <v>31</v>
      </c>
      <c r="B21" s="8">
        <v>13285.05</v>
      </c>
      <c r="C21" s="8">
        <v>23.85</v>
      </c>
      <c r="D21" s="9">
        <v>0.32</v>
      </c>
      <c r="E21" s="10">
        <v>1</v>
      </c>
      <c r="F21" s="11">
        <v>1</v>
      </c>
      <c r="G21" s="11"/>
      <c r="H21" s="10">
        <v>1</v>
      </c>
      <c r="I21" s="9">
        <f t="shared" si="1"/>
        <v>316848.4425</v>
      </c>
      <c r="J21" s="9">
        <f t="shared" si="0"/>
        <v>316848.4425</v>
      </c>
      <c r="K21" s="12">
        <f>B21*C21*((1-D21/100)+D21/100*1*1)</f>
        <v>316848.4425</v>
      </c>
      <c r="L21" t="s">
        <v>25</v>
      </c>
    </row>
    <row r="22" spans="1:12" ht="15.75" thickBot="1" x14ac:dyDescent="0.3">
      <c r="A22" s="13" t="s">
        <v>32</v>
      </c>
      <c r="B22" s="14">
        <v>13285.05</v>
      </c>
      <c r="C22" s="14">
        <v>35.24</v>
      </c>
      <c r="D22" s="15">
        <v>0.67</v>
      </c>
      <c r="E22" s="16">
        <v>1</v>
      </c>
      <c r="F22" s="17">
        <v>1</v>
      </c>
      <c r="G22" s="17"/>
      <c r="H22" s="16">
        <v>1</v>
      </c>
      <c r="I22" s="15">
        <f t="shared" si="1"/>
        <v>468165.16200000001</v>
      </c>
      <c r="J22" s="15">
        <f t="shared" si="0"/>
        <v>468165.16200000001</v>
      </c>
      <c r="K22" s="18">
        <f>B22*C22*((1-D22/100)+D22/100*1*1)</f>
        <v>468165.16200000001</v>
      </c>
    </row>
    <row r="23" spans="1:12" ht="19.5" thickBot="1" x14ac:dyDescent="0.35">
      <c r="A23" s="189" t="s">
        <v>33</v>
      </c>
      <c r="B23" s="190"/>
      <c r="C23" s="190"/>
      <c r="D23" s="190"/>
      <c r="E23" s="190"/>
      <c r="F23" s="190"/>
      <c r="G23" s="190"/>
      <c r="H23" s="190"/>
      <c r="I23" s="190"/>
      <c r="J23" s="190"/>
      <c r="K23" s="191"/>
      <c r="L23" t="s">
        <v>9</v>
      </c>
    </row>
    <row r="24" spans="1:12" x14ac:dyDescent="0.25">
      <c r="A24" s="204"/>
      <c r="B24" s="180" t="s">
        <v>10</v>
      </c>
      <c r="C24" s="180" t="s">
        <v>11</v>
      </c>
      <c r="D24" s="180" t="s">
        <v>12</v>
      </c>
      <c r="E24" s="179" t="s">
        <v>13</v>
      </c>
      <c r="F24" s="179"/>
      <c r="G24" s="179"/>
      <c r="H24" s="182" t="s">
        <v>14</v>
      </c>
      <c r="I24" s="182" t="s">
        <v>15</v>
      </c>
      <c r="J24" s="182" t="s">
        <v>16</v>
      </c>
      <c r="K24" s="182" t="s">
        <v>17</v>
      </c>
    </row>
    <row r="25" spans="1:12" ht="90" x14ac:dyDescent="0.25">
      <c r="A25" s="205"/>
      <c r="B25" s="181"/>
      <c r="C25" s="181"/>
      <c r="D25" s="181"/>
      <c r="E25" s="5" t="s">
        <v>18</v>
      </c>
      <c r="F25" s="5" t="s">
        <v>19</v>
      </c>
      <c r="G25" s="5" t="s">
        <v>20</v>
      </c>
      <c r="H25" s="183"/>
      <c r="I25" s="183"/>
      <c r="J25" s="183"/>
      <c r="K25" s="183"/>
    </row>
    <row r="26" spans="1:12" x14ac:dyDescent="0.25">
      <c r="A26" s="19" t="s">
        <v>34</v>
      </c>
      <c r="B26" s="8">
        <v>24255.4</v>
      </c>
      <c r="C26" s="20">
        <v>4.88</v>
      </c>
      <c r="D26" s="21">
        <v>5.8400000000000001E-2</v>
      </c>
      <c r="E26" s="20">
        <v>1</v>
      </c>
      <c r="F26" s="20" t="s">
        <v>35</v>
      </c>
      <c r="G26" s="20"/>
      <c r="H26" s="20">
        <v>1</v>
      </c>
      <c r="I26" s="8">
        <f t="shared" ref="I26:I37" si="2">B26*C26*((1-D26)+D26*E26*1*1)+0</f>
        <v>118366.352</v>
      </c>
      <c r="J26" s="8">
        <f t="shared" ref="J26:J37" si="3">B26*C26*((1-D26)+D26*E26*1*1)+0</f>
        <v>118366.352</v>
      </c>
      <c r="K26" s="22">
        <f t="shared" ref="K26:K31" si="4">B26*C26*((1-D26)+D26*E26*1.2*1)+0</f>
        <v>119748.87099135999</v>
      </c>
    </row>
    <row r="27" spans="1:12" x14ac:dyDescent="0.25">
      <c r="A27" s="19" t="s">
        <v>36</v>
      </c>
      <c r="B27" s="8">
        <v>24255.4</v>
      </c>
      <c r="C27" s="20">
        <v>8.07</v>
      </c>
      <c r="D27" s="23">
        <v>3.32E-2</v>
      </c>
      <c r="E27" s="20">
        <v>1</v>
      </c>
      <c r="F27" s="20" t="s">
        <v>35</v>
      </c>
      <c r="G27" s="20"/>
      <c r="H27" s="20">
        <v>1</v>
      </c>
      <c r="I27" s="8">
        <f t="shared" si="2"/>
        <v>195741.07800000001</v>
      </c>
      <c r="J27" s="8">
        <f t="shared" si="3"/>
        <v>195741.07800000001</v>
      </c>
      <c r="K27" s="22">
        <f t="shared" si="4"/>
        <v>197040.79875792001</v>
      </c>
    </row>
    <row r="28" spans="1:12" x14ac:dyDescent="0.25">
      <c r="A28" s="24" t="s">
        <v>37</v>
      </c>
      <c r="B28" s="8">
        <v>24255.4</v>
      </c>
      <c r="C28" s="20">
        <v>10.11</v>
      </c>
      <c r="D28" s="23">
        <v>2.1499999999999998E-2</v>
      </c>
      <c r="E28" s="20">
        <v>1</v>
      </c>
      <c r="F28" s="20" t="s">
        <v>35</v>
      </c>
      <c r="G28" s="20"/>
      <c r="H28" s="20">
        <v>1</v>
      </c>
      <c r="I28" s="8">
        <f t="shared" si="2"/>
        <v>245222.09400000001</v>
      </c>
      <c r="J28" s="8">
        <f t="shared" si="3"/>
        <v>245222.09400000001</v>
      </c>
      <c r="K28" s="22">
        <f t="shared" si="4"/>
        <v>246276.5490042</v>
      </c>
    </row>
    <row r="29" spans="1:12" x14ac:dyDescent="0.25">
      <c r="A29" s="24" t="s">
        <v>38</v>
      </c>
      <c r="B29" s="8">
        <v>24255.4</v>
      </c>
      <c r="C29" s="20">
        <v>13.86</v>
      </c>
      <c r="D29" s="23">
        <v>1.55E-2</v>
      </c>
      <c r="E29" s="20">
        <v>1</v>
      </c>
      <c r="F29" s="20" t="s">
        <v>35</v>
      </c>
      <c r="G29" s="20"/>
      <c r="H29" s="20">
        <v>1</v>
      </c>
      <c r="I29" s="8">
        <f t="shared" si="2"/>
        <v>336179.84399999998</v>
      </c>
      <c r="J29" s="8">
        <f t="shared" si="3"/>
        <v>336179.84399999998</v>
      </c>
      <c r="K29" s="22">
        <f t="shared" si="4"/>
        <v>337222.00151640002</v>
      </c>
    </row>
    <row r="30" spans="1:12" x14ac:dyDescent="0.25">
      <c r="A30" s="24" t="s">
        <v>39</v>
      </c>
      <c r="B30" s="8">
        <v>24255.4</v>
      </c>
      <c r="C30" s="20">
        <v>17.2</v>
      </c>
      <c r="D30" s="23">
        <v>1.1900000000000001E-2</v>
      </c>
      <c r="E30" s="20">
        <v>1</v>
      </c>
      <c r="F30" s="20" t="s">
        <v>35</v>
      </c>
      <c r="G30" s="20"/>
      <c r="H30" s="20">
        <v>1</v>
      </c>
      <c r="I30" s="8">
        <f t="shared" si="2"/>
        <v>417192.88</v>
      </c>
      <c r="J30" s="8">
        <f t="shared" si="3"/>
        <v>417192.88</v>
      </c>
      <c r="K30" s="22">
        <f t="shared" si="4"/>
        <v>418185.79905440001</v>
      </c>
    </row>
    <row r="31" spans="1:12" x14ac:dyDescent="0.25">
      <c r="A31" s="24" t="s">
        <v>40</v>
      </c>
      <c r="B31" s="8">
        <v>24255.4</v>
      </c>
      <c r="C31" s="20">
        <v>29.17</v>
      </c>
      <c r="D31" s="23">
        <v>6.8999999999999999E-3</v>
      </c>
      <c r="E31" s="20">
        <v>1</v>
      </c>
      <c r="F31" s="20" t="s">
        <v>35</v>
      </c>
      <c r="G31" s="20"/>
      <c r="H31" s="20">
        <v>1</v>
      </c>
      <c r="I31" s="8">
        <f t="shared" si="2"/>
        <v>707530.01800000004</v>
      </c>
      <c r="J31" s="8">
        <f t="shared" si="3"/>
        <v>707530.01800000004</v>
      </c>
      <c r="K31" s="22">
        <f t="shared" si="4"/>
        <v>708506.40942484001</v>
      </c>
    </row>
    <row r="32" spans="1:12" x14ac:dyDescent="0.25">
      <c r="A32" s="19" t="s">
        <v>41</v>
      </c>
      <c r="B32" s="8">
        <v>13915.62</v>
      </c>
      <c r="C32" s="20">
        <v>8.57</v>
      </c>
      <c r="D32" s="25">
        <v>0.15079999999999999</v>
      </c>
      <c r="E32" s="20">
        <v>1</v>
      </c>
      <c r="F32" s="20">
        <v>1</v>
      </c>
      <c r="G32" s="20"/>
      <c r="H32" s="20">
        <v>1</v>
      </c>
      <c r="I32" s="8">
        <f t="shared" si="2"/>
        <v>119256.86340000002</v>
      </c>
      <c r="J32" s="8">
        <f t="shared" si="3"/>
        <v>119256.86340000002</v>
      </c>
      <c r="K32" s="22">
        <f t="shared" ref="K32:K37" si="5">B32*C32*((1-D32)+D32*E32*1*1)+0</f>
        <v>119256.86340000002</v>
      </c>
    </row>
    <row r="33" spans="1:12" x14ac:dyDescent="0.25">
      <c r="A33" s="7" t="s">
        <v>42</v>
      </c>
      <c r="B33" s="8">
        <v>13915.62</v>
      </c>
      <c r="C33" s="20">
        <v>9.65</v>
      </c>
      <c r="D33" s="25">
        <v>0.14910000000000001</v>
      </c>
      <c r="E33" s="20">
        <v>1</v>
      </c>
      <c r="F33" s="20">
        <v>1</v>
      </c>
      <c r="G33" s="20"/>
      <c r="H33" s="20">
        <v>1</v>
      </c>
      <c r="I33" s="8">
        <f t="shared" si="2"/>
        <v>134285.73300000001</v>
      </c>
      <c r="J33" s="8">
        <f t="shared" si="3"/>
        <v>134285.73300000001</v>
      </c>
      <c r="K33" s="22">
        <f t="shared" si="5"/>
        <v>134285.73300000001</v>
      </c>
    </row>
    <row r="34" spans="1:12" x14ac:dyDescent="0.25">
      <c r="A34" s="7" t="s">
        <v>43</v>
      </c>
      <c r="B34" s="8">
        <v>13915.62</v>
      </c>
      <c r="C34" s="20">
        <v>13.5</v>
      </c>
      <c r="D34" s="25">
        <v>9.9900000000000003E-2</v>
      </c>
      <c r="E34" s="20">
        <v>1</v>
      </c>
      <c r="F34" s="20">
        <v>1</v>
      </c>
      <c r="G34" s="20"/>
      <c r="H34" s="20">
        <v>1</v>
      </c>
      <c r="I34" s="8">
        <f t="shared" si="2"/>
        <v>187860.87000000002</v>
      </c>
      <c r="J34" s="8">
        <f t="shared" si="3"/>
        <v>187860.87000000002</v>
      </c>
      <c r="K34" s="22">
        <f t="shared" si="5"/>
        <v>187860.87000000002</v>
      </c>
    </row>
    <row r="35" spans="1:12" x14ac:dyDescent="0.25">
      <c r="A35" s="7" t="s">
        <v>44</v>
      </c>
      <c r="B35" s="8">
        <v>13915.62</v>
      </c>
      <c r="C35" s="20">
        <v>16.03</v>
      </c>
      <c r="D35" s="25">
        <v>8.4900000000000003E-2</v>
      </c>
      <c r="E35" s="20">
        <v>1</v>
      </c>
      <c r="F35" s="20">
        <v>1</v>
      </c>
      <c r="G35" s="7"/>
      <c r="H35" s="20">
        <v>1</v>
      </c>
      <c r="I35" s="8">
        <f t="shared" si="2"/>
        <v>223067.38860000003</v>
      </c>
      <c r="J35" s="8">
        <f t="shared" si="3"/>
        <v>223067.38860000003</v>
      </c>
      <c r="K35" s="22">
        <f t="shared" si="5"/>
        <v>223067.38860000003</v>
      </c>
      <c r="L35" t="s">
        <v>25</v>
      </c>
    </row>
    <row r="36" spans="1:12" x14ac:dyDescent="0.25">
      <c r="A36" s="24" t="s">
        <v>45</v>
      </c>
      <c r="B36" s="8">
        <v>13915.62</v>
      </c>
      <c r="C36" s="20">
        <v>27.22</v>
      </c>
      <c r="D36" s="25">
        <v>2.8199999999999999E-2</v>
      </c>
      <c r="E36" s="20">
        <v>1</v>
      </c>
      <c r="F36" s="20">
        <v>1</v>
      </c>
      <c r="G36" s="7"/>
      <c r="H36" s="20">
        <v>1</v>
      </c>
      <c r="I36" s="8">
        <f t="shared" si="2"/>
        <v>378783.1764</v>
      </c>
      <c r="J36" s="8">
        <f t="shared" si="3"/>
        <v>378783.1764</v>
      </c>
      <c r="K36" s="22">
        <f t="shared" si="5"/>
        <v>378783.1764</v>
      </c>
    </row>
    <row r="37" spans="1:12" ht="15.75" thickBot="1" x14ac:dyDescent="0.3">
      <c r="A37" s="26" t="s">
        <v>46</v>
      </c>
      <c r="B37" s="14">
        <v>13915.62</v>
      </c>
      <c r="C37" s="27">
        <v>56.65</v>
      </c>
      <c r="D37" s="28">
        <v>2.3E-3</v>
      </c>
      <c r="E37" s="27">
        <v>1</v>
      </c>
      <c r="F37" s="27">
        <v>1</v>
      </c>
      <c r="G37" s="13"/>
      <c r="H37" s="27">
        <v>1</v>
      </c>
      <c r="I37" s="14">
        <f t="shared" si="2"/>
        <v>788319.87300000002</v>
      </c>
      <c r="J37" s="14">
        <f t="shared" si="3"/>
        <v>788319.87300000002</v>
      </c>
      <c r="K37" s="29">
        <f t="shared" si="5"/>
        <v>788319.87300000002</v>
      </c>
    </row>
    <row r="38" spans="1:12" ht="19.5" thickBot="1" x14ac:dyDescent="0.35">
      <c r="A38" s="200" t="s">
        <v>47</v>
      </c>
      <c r="B38" s="201"/>
      <c r="C38" s="201"/>
      <c r="D38" s="201"/>
      <c r="E38" s="201"/>
      <c r="F38" s="201"/>
      <c r="G38" s="201"/>
      <c r="H38" s="201"/>
      <c r="I38" s="201"/>
      <c r="J38" s="201"/>
      <c r="K38" s="202"/>
      <c r="L38" t="s">
        <v>48</v>
      </c>
    </row>
    <row r="39" spans="1:12" ht="15" customHeight="1" x14ac:dyDescent="0.25">
      <c r="A39" s="203"/>
      <c r="B39" s="180" t="s">
        <v>10</v>
      </c>
      <c r="C39" s="180" t="s">
        <v>11</v>
      </c>
      <c r="D39" s="180" t="s">
        <v>12</v>
      </c>
      <c r="E39" s="179" t="s">
        <v>13</v>
      </c>
      <c r="F39" s="179"/>
      <c r="G39" s="179"/>
      <c r="H39" s="182" t="s">
        <v>49</v>
      </c>
      <c r="I39" s="182" t="s">
        <v>15</v>
      </c>
      <c r="J39" s="188" t="s">
        <v>50</v>
      </c>
      <c r="K39" s="182" t="s">
        <v>17</v>
      </c>
    </row>
    <row r="40" spans="1:12" ht="90" x14ac:dyDescent="0.25">
      <c r="A40" s="204"/>
      <c r="B40" s="181"/>
      <c r="C40" s="181"/>
      <c r="D40" s="181"/>
      <c r="E40" s="5" t="s">
        <v>51</v>
      </c>
      <c r="F40" s="5" t="s">
        <v>52</v>
      </c>
      <c r="G40" s="5" t="s">
        <v>20</v>
      </c>
      <c r="H40" s="183"/>
      <c r="I40" s="183"/>
      <c r="J40" s="182"/>
      <c r="K40" s="183"/>
    </row>
    <row r="41" spans="1:12" x14ac:dyDescent="0.25">
      <c r="A41" s="7" t="s">
        <v>21</v>
      </c>
      <c r="B41" s="8">
        <v>23735.14</v>
      </c>
      <c r="C41" s="8">
        <v>4.2300000000000004</v>
      </c>
      <c r="D41" s="8">
        <v>17.54</v>
      </c>
      <c r="E41" s="10">
        <v>1</v>
      </c>
      <c r="F41" s="11" t="s">
        <v>53</v>
      </c>
      <c r="G41" s="11"/>
      <c r="H41" s="10">
        <v>1</v>
      </c>
      <c r="I41" s="9">
        <f>B41*C41*((1-D41/100)+D41/100*1*0.8)</f>
        <v>96877.622751624003</v>
      </c>
      <c r="J41" s="9">
        <f>B41*C41*((1-D41/100)+D41/100*1.35*1)</f>
        <v>106563.17623465801</v>
      </c>
      <c r="K41" s="30">
        <f>B41*C41*((1-D41/100)+D41/100*1*1.35)</f>
        <v>106563.17623465801</v>
      </c>
    </row>
    <row r="42" spans="1:12" x14ac:dyDescent="0.25">
      <c r="A42" s="7" t="s">
        <v>23</v>
      </c>
      <c r="B42" s="8">
        <v>23735.14</v>
      </c>
      <c r="C42" s="8">
        <v>8.49</v>
      </c>
      <c r="D42" s="8">
        <v>7.19</v>
      </c>
      <c r="E42" s="10">
        <v>1</v>
      </c>
      <c r="F42" s="11" t="s">
        <v>53</v>
      </c>
      <c r="G42" s="11"/>
      <c r="H42" s="10">
        <v>1</v>
      </c>
      <c r="I42" s="9">
        <f>B42*C42*((1-D42/100)+D42/100*1*0.8)</f>
        <v>198613.605550932</v>
      </c>
      <c r="J42" s="9">
        <f>B42*C42*((1-D42/100)+D42/100*1.35*1)</f>
        <v>206582.37143586902</v>
      </c>
      <c r="K42" s="30">
        <f>B42*C42*((1-D42/100)+D42/100*1*1.35)</f>
        <v>206582.37143586902</v>
      </c>
    </row>
    <row r="43" spans="1:12" x14ac:dyDescent="0.25">
      <c r="A43" s="7" t="s">
        <v>24</v>
      </c>
      <c r="B43" s="8">
        <v>23735.14</v>
      </c>
      <c r="C43" s="8">
        <v>13.38</v>
      </c>
      <c r="D43" s="8">
        <v>1.89</v>
      </c>
      <c r="E43" s="10">
        <v>1</v>
      </c>
      <c r="F43" s="11" t="s">
        <v>53</v>
      </c>
      <c r="G43" s="11"/>
      <c r="H43" s="10">
        <v>1</v>
      </c>
      <c r="I43" s="9">
        <f>B43*C43*((1-D43/100)+D43/100*1*0.8)</f>
        <v>316375.73526530404</v>
      </c>
      <c r="J43" s="9">
        <f>B43*C43*((1-D43/100)+D43/100*1.35*1)</f>
        <v>319676.93958571804</v>
      </c>
      <c r="K43" s="30">
        <f>B43*C43*((1-D43/100)+D43/100*1*1.35)</f>
        <v>319676.93958571804</v>
      </c>
      <c r="L43" t="s">
        <v>25</v>
      </c>
    </row>
    <row r="44" spans="1:12" x14ac:dyDescent="0.25">
      <c r="A44" s="7" t="s">
        <v>26</v>
      </c>
      <c r="B44" s="8">
        <v>23735.14</v>
      </c>
      <c r="C44" s="8">
        <v>17.89</v>
      </c>
      <c r="D44" s="8">
        <v>2.44</v>
      </c>
      <c r="E44" s="10">
        <v>1</v>
      </c>
      <c r="F44" s="11" t="s">
        <v>53</v>
      </c>
      <c r="G44" s="11"/>
      <c r="H44" s="10">
        <v>1</v>
      </c>
      <c r="I44" s="9">
        <f>B44*C44*((1-D44/100)+D44/100*1*0.8)</f>
        <v>422549.50092555198</v>
      </c>
      <c r="J44" s="9">
        <f>B44*C44*((1-D44/100)+D44/100*1.35*1)</f>
        <v>428247.92353028402</v>
      </c>
      <c r="K44" s="30">
        <f>B44*C44*((1-D44/100)+D44/100*1*1.35)</f>
        <v>428247.92353028402</v>
      </c>
    </row>
    <row r="45" spans="1:12" x14ac:dyDescent="0.25">
      <c r="A45" s="7" t="s">
        <v>27</v>
      </c>
      <c r="B45" s="8">
        <v>23735.14</v>
      </c>
      <c r="C45" s="8">
        <v>34.58</v>
      </c>
      <c r="D45" s="8">
        <v>0.73</v>
      </c>
      <c r="E45" s="10">
        <v>1</v>
      </c>
      <c r="F45" s="11" t="s">
        <v>53</v>
      </c>
      <c r="G45" s="11"/>
      <c r="H45" s="10">
        <v>1</v>
      </c>
      <c r="I45" s="9">
        <f>B45*C45*((1-D45/100)+D45/100*1*0.8)</f>
        <v>819562.82993384788</v>
      </c>
      <c r="J45" s="9">
        <f>B45*C45*((1-D45/100)+D45/100*1.35*1)</f>
        <v>822858.18591576605</v>
      </c>
      <c r="K45" s="30">
        <f>B45*C45*((1-D45/100)+D45/100*1*1.35)</f>
        <v>822858.18591576605</v>
      </c>
    </row>
    <row r="46" spans="1:12" x14ac:dyDescent="0.25">
      <c r="A46" s="7" t="s">
        <v>28</v>
      </c>
      <c r="B46" s="8">
        <v>13285.02</v>
      </c>
      <c r="C46" s="8">
        <v>7.73</v>
      </c>
      <c r="D46" s="8">
        <v>3.76</v>
      </c>
      <c r="E46" s="10">
        <v>1</v>
      </c>
      <c r="F46" s="11">
        <v>1</v>
      </c>
      <c r="G46" s="11"/>
      <c r="H46" s="10">
        <v>1</v>
      </c>
      <c r="I46" s="9">
        <f>B46*C46*((1-D46/100)+D46/100*1*1)</f>
        <v>102693.20460000001</v>
      </c>
      <c r="J46" s="9">
        <f>B46*C46*((1-D46/100)+D46/100*1*1)</f>
        <v>102693.20460000001</v>
      </c>
      <c r="K46" s="30">
        <f>B46*C46*((1-D46/100)+D46/100*1*1)</f>
        <v>102693.20460000001</v>
      </c>
    </row>
    <row r="47" spans="1:12" x14ac:dyDescent="0.25">
      <c r="A47" s="7" t="s">
        <v>29</v>
      </c>
      <c r="B47" s="8">
        <v>13285.02</v>
      </c>
      <c r="C47" s="8">
        <v>11.25</v>
      </c>
      <c r="D47" s="8">
        <v>6.78</v>
      </c>
      <c r="E47" s="10">
        <v>1</v>
      </c>
      <c r="F47" s="11">
        <v>1</v>
      </c>
      <c r="G47" s="11"/>
      <c r="H47" s="10">
        <v>1</v>
      </c>
      <c r="I47" s="9">
        <f>B47*C47*((1-D47/100)+D47/100*1*1)</f>
        <v>149456.47500000001</v>
      </c>
      <c r="J47" s="9">
        <f>B47*C47*((1-D47/100)+D47/100*1*1)</f>
        <v>149456.47500000001</v>
      </c>
      <c r="K47" s="30">
        <f>B47*C47*((1-D47/100)+D47/100*1*1)</f>
        <v>149456.47500000001</v>
      </c>
    </row>
    <row r="48" spans="1:12" x14ac:dyDescent="0.25">
      <c r="A48" s="7" t="s">
        <v>30</v>
      </c>
      <c r="B48" s="8">
        <v>13285.02</v>
      </c>
      <c r="C48" s="8">
        <v>15.26</v>
      </c>
      <c r="D48" s="8">
        <v>0.43</v>
      </c>
      <c r="E48" s="10">
        <v>1</v>
      </c>
      <c r="F48" s="11">
        <v>1</v>
      </c>
      <c r="G48" s="11"/>
      <c r="H48" s="10">
        <v>1</v>
      </c>
      <c r="I48" s="9">
        <f>B48*C48*((1-D48/100)+D48/100*1*1)</f>
        <v>202729.40520000001</v>
      </c>
      <c r="J48" s="9">
        <f>B48*C48*((1-D48/100)+D48/100*1*1)</f>
        <v>202729.40520000001</v>
      </c>
      <c r="K48" s="30">
        <f>B48*C48*((1-D48/100)+D48/100*1*1)</f>
        <v>202729.40520000001</v>
      </c>
    </row>
    <row r="49" spans="1:12" x14ac:dyDescent="0.25">
      <c r="A49" s="7" t="s">
        <v>31</v>
      </c>
      <c r="B49" s="8">
        <v>13285.02</v>
      </c>
      <c r="C49" s="8">
        <v>23.85</v>
      </c>
      <c r="D49" s="8">
        <v>0.32</v>
      </c>
      <c r="E49" s="10">
        <v>1</v>
      </c>
      <c r="F49" s="11">
        <v>1</v>
      </c>
      <c r="G49" s="11"/>
      <c r="H49" s="10">
        <v>1</v>
      </c>
      <c r="I49" s="9">
        <f>B49*C49*((1-D49/100)+D49/100*1*1)</f>
        <v>316847.72700000001</v>
      </c>
      <c r="J49" s="9">
        <f>B49*C49*((1-D49/100)+D49/100*1*1)</f>
        <v>316847.72700000001</v>
      </c>
      <c r="K49" s="30">
        <f>B49*C49*((1-D49/100)+D49/100*1*1)</f>
        <v>316847.72700000001</v>
      </c>
    </row>
    <row r="50" spans="1:12" ht="15.75" thickBot="1" x14ac:dyDescent="0.3">
      <c r="A50" s="13" t="s">
        <v>32</v>
      </c>
      <c r="B50" s="14">
        <v>13285.02</v>
      </c>
      <c r="C50" s="14">
        <v>35.24</v>
      </c>
      <c r="D50" s="14">
        <v>0.67</v>
      </c>
      <c r="E50" s="16">
        <v>1</v>
      </c>
      <c r="F50" s="17">
        <v>1</v>
      </c>
      <c r="G50" s="17"/>
      <c r="H50" s="16">
        <v>1</v>
      </c>
      <c r="I50" s="15">
        <f>B50*C50*((1-D50/100)+D50/100*1*1)</f>
        <v>468164.10480000003</v>
      </c>
      <c r="J50" s="15">
        <f>B50*C50*((1-D50/100)+D50/100*1*1)</f>
        <v>468164.10480000003</v>
      </c>
      <c r="K50" s="31">
        <f>B50*C50*((1-D50/100)+D50/100*1*1)</f>
        <v>468164.10480000003</v>
      </c>
    </row>
    <row r="51" spans="1:12" ht="19.5" thickBot="1" x14ac:dyDescent="0.35">
      <c r="A51" s="189" t="s">
        <v>54</v>
      </c>
      <c r="B51" s="190"/>
      <c r="C51" s="190"/>
      <c r="D51" s="190"/>
      <c r="E51" s="190"/>
      <c r="F51" s="190"/>
      <c r="G51" s="190"/>
      <c r="H51" s="190"/>
      <c r="I51" s="190"/>
      <c r="J51" s="190"/>
      <c r="K51" s="191"/>
      <c r="L51" t="s">
        <v>48</v>
      </c>
    </row>
    <row r="52" spans="1:12" ht="15" customHeight="1" x14ac:dyDescent="0.25">
      <c r="A52" s="203"/>
      <c r="B52" s="180" t="s">
        <v>10</v>
      </c>
      <c r="C52" s="180" t="s">
        <v>11</v>
      </c>
      <c r="D52" s="180" t="s">
        <v>12</v>
      </c>
      <c r="E52" s="179" t="s">
        <v>13</v>
      </c>
      <c r="F52" s="179"/>
      <c r="G52" s="179"/>
      <c r="H52" s="182" t="s">
        <v>49</v>
      </c>
      <c r="I52" s="182" t="s">
        <v>15</v>
      </c>
      <c r="J52" s="188" t="s">
        <v>50</v>
      </c>
      <c r="K52" s="182" t="s">
        <v>17</v>
      </c>
    </row>
    <row r="53" spans="1:12" ht="90" x14ac:dyDescent="0.25">
      <c r="A53" s="204"/>
      <c r="B53" s="181"/>
      <c r="C53" s="181"/>
      <c r="D53" s="181"/>
      <c r="E53" s="5" t="s">
        <v>51</v>
      </c>
      <c r="F53" s="5" t="s">
        <v>52</v>
      </c>
      <c r="G53" s="5" t="s">
        <v>20</v>
      </c>
      <c r="H53" s="183"/>
      <c r="I53" s="183"/>
      <c r="J53" s="182"/>
      <c r="K53" s="183"/>
    </row>
    <row r="54" spans="1:12" x14ac:dyDescent="0.25">
      <c r="A54" s="19" t="s">
        <v>34</v>
      </c>
      <c r="B54" s="8">
        <v>24546.99</v>
      </c>
      <c r="C54" s="20">
        <v>4.88</v>
      </c>
      <c r="D54" s="21">
        <v>5.8400000000000001E-2</v>
      </c>
      <c r="E54" s="20">
        <v>1</v>
      </c>
      <c r="F54" s="20" t="s">
        <v>53</v>
      </c>
      <c r="G54" s="20"/>
      <c r="H54" s="20">
        <v>1</v>
      </c>
      <c r="I54" s="8">
        <f t="shared" ref="I54:I65" si="6">B54*C54*((1-D54)+D54*E54*1*1)+0</f>
        <v>119789.31120000001</v>
      </c>
      <c r="J54" s="8">
        <f t="shared" ref="J54:J59" si="7">B54*C54*((1-D54)+D54*E54*1.35*1)+0</f>
        <v>122237.80472092802</v>
      </c>
      <c r="K54" s="22">
        <f t="shared" ref="K54:K59" si="8">B54*C54*((1-D54)+D54*E54*1.35*1)+0</f>
        <v>122237.80472092802</v>
      </c>
    </row>
    <row r="55" spans="1:12" x14ac:dyDescent="0.25">
      <c r="A55" s="19" t="s">
        <v>36</v>
      </c>
      <c r="B55" s="8">
        <v>24546.99</v>
      </c>
      <c r="C55" s="20">
        <v>8.07</v>
      </c>
      <c r="D55" s="23">
        <v>3.32E-2</v>
      </c>
      <c r="E55" s="20">
        <v>1</v>
      </c>
      <c r="F55" s="20" t="s">
        <v>53</v>
      </c>
      <c r="G55" s="20"/>
      <c r="H55" s="20">
        <v>1</v>
      </c>
      <c r="I55" s="8">
        <f t="shared" si="6"/>
        <v>198094.20930000002</v>
      </c>
      <c r="J55" s="8">
        <f t="shared" si="7"/>
        <v>200396.064012066</v>
      </c>
      <c r="K55" s="22">
        <f t="shared" si="8"/>
        <v>200396.064012066</v>
      </c>
    </row>
    <row r="56" spans="1:12" x14ac:dyDescent="0.25">
      <c r="A56" s="24" t="s">
        <v>37</v>
      </c>
      <c r="B56" s="8">
        <v>24546.99</v>
      </c>
      <c r="C56" s="20">
        <v>10.11</v>
      </c>
      <c r="D56" s="23">
        <v>2.1499999999999998E-2</v>
      </c>
      <c r="E56" s="20">
        <v>1</v>
      </c>
      <c r="F56" s="20" t="s">
        <v>53</v>
      </c>
      <c r="G56" s="20"/>
      <c r="H56" s="20">
        <v>1</v>
      </c>
      <c r="I56" s="8">
        <f t="shared" si="6"/>
        <v>248170.06890000001</v>
      </c>
      <c r="J56" s="8">
        <f t="shared" si="7"/>
        <v>250037.5486684725</v>
      </c>
      <c r="K56" s="22">
        <f t="shared" si="8"/>
        <v>250037.5486684725</v>
      </c>
    </row>
    <row r="57" spans="1:12" x14ac:dyDescent="0.25">
      <c r="A57" s="24" t="s">
        <v>38</v>
      </c>
      <c r="B57" s="8">
        <v>24546.99</v>
      </c>
      <c r="C57" s="20">
        <v>13.86</v>
      </c>
      <c r="D57" s="23">
        <v>1.55E-2</v>
      </c>
      <c r="E57" s="20">
        <v>1</v>
      </c>
      <c r="F57" s="20" t="s">
        <v>53</v>
      </c>
      <c r="G57" s="20"/>
      <c r="H57" s="20">
        <v>1</v>
      </c>
      <c r="I57" s="8">
        <f t="shared" si="6"/>
        <v>340221.28140000004</v>
      </c>
      <c r="J57" s="8">
        <f t="shared" si="7"/>
        <v>342066.98185159505</v>
      </c>
      <c r="K57" s="22">
        <f t="shared" si="8"/>
        <v>342066.98185159505</v>
      </c>
    </row>
    <row r="58" spans="1:12" x14ac:dyDescent="0.25">
      <c r="A58" s="24" t="s">
        <v>39</v>
      </c>
      <c r="B58" s="8">
        <v>24546.99</v>
      </c>
      <c r="C58" s="20">
        <v>17.2</v>
      </c>
      <c r="D58" s="23">
        <v>1.1900000000000001E-2</v>
      </c>
      <c r="E58" s="20">
        <v>1</v>
      </c>
      <c r="F58" s="20" t="s">
        <v>53</v>
      </c>
      <c r="G58" s="20"/>
      <c r="H58" s="20">
        <v>1</v>
      </c>
      <c r="I58" s="8">
        <f t="shared" si="6"/>
        <v>422208.228</v>
      </c>
      <c r="J58" s="8">
        <f t="shared" si="7"/>
        <v>423966.72526962002</v>
      </c>
      <c r="K58" s="22">
        <f t="shared" si="8"/>
        <v>423966.72526962002</v>
      </c>
    </row>
    <row r="59" spans="1:12" x14ac:dyDescent="0.25">
      <c r="A59" s="24" t="s">
        <v>40</v>
      </c>
      <c r="B59" s="8">
        <v>24546.99</v>
      </c>
      <c r="C59" s="20">
        <v>29.17</v>
      </c>
      <c r="D59" s="23">
        <v>6.8999999999999999E-3</v>
      </c>
      <c r="E59" s="20">
        <v>1</v>
      </c>
      <c r="F59" s="20" t="s">
        <v>53</v>
      </c>
      <c r="G59" s="20"/>
      <c r="H59" s="20">
        <v>1</v>
      </c>
      <c r="I59" s="8">
        <f t="shared" si="6"/>
        <v>716035.69830000005</v>
      </c>
      <c r="J59" s="8">
        <f t="shared" si="7"/>
        <v>717764.92451139458</v>
      </c>
      <c r="K59" s="22">
        <f t="shared" si="8"/>
        <v>717764.92451139458</v>
      </c>
    </row>
    <row r="60" spans="1:12" x14ac:dyDescent="0.25">
      <c r="A60" s="19" t="s">
        <v>41</v>
      </c>
      <c r="B60" s="8">
        <v>13915.62</v>
      </c>
      <c r="C60" s="20">
        <v>8.57</v>
      </c>
      <c r="D60" s="25">
        <v>0.15079999999999999</v>
      </c>
      <c r="E60" s="20">
        <v>1</v>
      </c>
      <c r="F60" s="20">
        <v>1</v>
      </c>
      <c r="G60" s="20"/>
      <c r="H60" s="20">
        <v>1</v>
      </c>
      <c r="I60" s="8">
        <f t="shared" si="6"/>
        <v>119256.86340000002</v>
      </c>
      <c r="J60" s="8">
        <f t="shared" ref="J60:J65" si="9">B60*C60*((1-D60)+D60*E60*1*1)+0</f>
        <v>119256.86340000002</v>
      </c>
      <c r="K60" s="22">
        <f t="shared" ref="K60:K65" si="10">B60*C60*((1-D60)+D60*E60*1*1)+0</f>
        <v>119256.86340000002</v>
      </c>
    </row>
    <row r="61" spans="1:12" x14ac:dyDescent="0.25">
      <c r="A61" s="7" t="s">
        <v>42</v>
      </c>
      <c r="B61" s="8">
        <v>13915.62</v>
      </c>
      <c r="C61" s="20">
        <v>9.65</v>
      </c>
      <c r="D61" s="25">
        <v>0.14910000000000001</v>
      </c>
      <c r="E61" s="20">
        <v>1</v>
      </c>
      <c r="F61" s="20">
        <v>1</v>
      </c>
      <c r="G61" s="20"/>
      <c r="H61" s="20">
        <v>1</v>
      </c>
      <c r="I61" s="8">
        <f t="shared" si="6"/>
        <v>134285.73300000001</v>
      </c>
      <c r="J61" s="8">
        <f t="shared" si="9"/>
        <v>134285.73300000001</v>
      </c>
      <c r="K61" s="22">
        <f t="shared" si="10"/>
        <v>134285.73300000001</v>
      </c>
    </row>
    <row r="62" spans="1:12" x14ac:dyDescent="0.25">
      <c r="A62" s="7" t="s">
        <v>43</v>
      </c>
      <c r="B62" s="8">
        <v>13915.62</v>
      </c>
      <c r="C62" s="20">
        <v>13.5</v>
      </c>
      <c r="D62" s="25">
        <v>9.9900000000000003E-2</v>
      </c>
      <c r="E62" s="20">
        <v>1</v>
      </c>
      <c r="F62" s="20">
        <v>1</v>
      </c>
      <c r="G62" s="20"/>
      <c r="H62" s="20">
        <v>1</v>
      </c>
      <c r="I62" s="8">
        <f t="shared" si="6"/>
        <v>187860.87000000002</v>
      </c>
      <c r="J62" s="8">
        <f t="shared" si="9"/>
        <v>187860.87000000002</v>
      </c>
      <c r="K62" s="22">
        <f t="shared" si="10"/>
        <v>187860.87000000002</v>
      </c>
    </row>
    <row r="63" spans="1:12" x14ac:dyDescent="0.25">
      <c r="A63" s="7" t="s">
        <v>44</v>
      </c>
      <c r="B63" s="8">
        <v>13915.62</v>
      </c>
      <c r="C63" s="20">
        <v>16.03</v>
      </c>
      <c r="D63" s="25">
        <v>8.4900000000000003E-2</v>
      </c>
      <c r="E63" s="20">
        <v>1</v>
      </c>
      <c r="F63" s="20">
        <v>1</v>
      </c>
      <c r="G63" s="7"/>
      <c r="H63" s="20">
        <v>1</v>
      </c>
      <c r="I63" s="8">
        <f t="shared" si="6"/>
        <v>223067.38860000003</v>
      </c>
      <c r="J63" s="8">
        <f t="shared" si="9"/>
        <v>223067.38860000003</v>
      </c>
      <c r="K63" s="22">
        <f t="shared" si="10"/>
        <v>223067.38860000003</v>
      </c>
    </row>
    <row r="64" spans="1:12" x14ac:dyDescent="0.25">
      <c r="A64" s="24" t="s">
        <v>45</v>
      </c>
      <c r="B64" s="8">
        <v>13915.62</v>
      </c>
      <c r="C64" s="20">
        <v>27.22</v>
      </c>
      <c r="D64" s="25">
        <v>2.8199999999999999E-2</v>
      </c>
      <c r="E64" s="20">
        <v>1</v>
      </c>
      <c r="F64" s="20">
        <v>1</v>
      </c>
      <c r="G64" s="7"/>
      <c r="H64" s="20">
        <v>1</v>
      </c>
      <c r="I64" s="8">
        <f t="shared" si="6"/>
        <v>378783.1764</v>
      </c>
      <c r="J64" s="8">
        <f t="shared" si="9"/>
        <v>378783.1764</v>
      </c>
      <c r="K64" s="22">
        <f t="shared" si="10"/>
        <v>378783.1764</v>
      </c>
    </row>
    <row r="65" spans="1:12" ht="15.75" thickBot="1" x14ac:dyDescent="0.3">
      <c r="A65" s="26" t="s">
        <v>46</v>
      </c>
      <c r="B65" s="14">
        <v>13915.62</v>
      </c>
      <c r="C65" s="27">
        <v>56.65</v>
      </c>
      <c r="D65" s="28">
        <v>2.3E-3</v>
      </c>
      <c r="E65" s="27">
        <v>1</v>
      </c>
      <c r="F65" s="27">
        <v>1</v>
      </c>
      <c r="G65" s="13"/>
      <c r="H65" s="27">
        <v>1</v>
      </c>
      <c r="I65" s="14">
        <f t="shared" si="6"/>
        <v>788319.87300000002</v>
      </c>
      <c r="J65" s="14">
        <f t="shared" si="9"/>
        <v>788319.87300000002</v>
      </c>
      <c r="K65" s="29">
        <f t="shared" si="10"/>
        <v>788319.87300000002</v>
      </c>
    </row>
    <row r="66" spans="1:12" ht="15" customHeight="1" thickBot="1" x14ac:dyDescent="0.35">
      <c r="A66" s="200" t="s">
        <v>55</v>
      </c>
      <c r="B66" s="201"/>
      <c r="C66" s="201"/>
      <c r="D66" s="201"/>
      <c r="E66" s="201"/>
      <c r="F66" s="201"/>
      <c r="G66" s="201"/>
      <c r="H66" s="201"/>
      <c r="I66" s="201"/>
      <c r="J66" s="201"/>
      <c r="K66" s="202"/>
      <c r="L66" t="s">
        <v>56</v>
      </c>
    </row>
    <row r="67" spans="1:12" ht="15" customHeight="1" x14ac:dyDescent="0.25">
      <c r="A67" s="195"/>
      <c r="B67" s="196" t="s">
        <v>10</v>
      </c>
      <c r="C67" s="196" t="s">
        <v>11</v>
      </c>
      <c r="D67" s="196" t="s">
        <v>12</v>
      </c>
      <c r="E67" s="197" t="s">
        <v>13</v>
      </c>
      <c r="F67" s="198"/>
      <c r="G67" s="199"/>
      <c r="H67" s="188" t="s">
        <v>14</v>
      </c>
      <c r="I67" s="188" t="s">
        <v>15</v>
      </c>
      <c r="J67" s="188" t="s">
        <v>57</v>
      </c>
      <c r="K67" s="188" t="s">
        <v>17</v>
      </c>
    </row>
    <row r="68" spans="1:12" ht="90" x14ac:dyDescent="0.25">
      <c r="A68" s="179"/>
      <c r="B68" s="180"/>
      <c r="C68" s="180"/>
      <c r="D68" s="180"/>
      <c r="E68" s="5" t="s">
        <v>51</v>
      </c>
      <c r="F68" s="5" t="s">
        <v>52</v>
      </c>
      <c r="G68" s="5" t="s">
        <v>20</v>
      </c>
      <c r="H68" s="182"/>
      <c r="I68" s="182"/>
      <c r="J68" s="182"/>
      <c r="K68" s="182"/>
    </row>
    <row r="69" spans="1:12" x14ac:dyDescent="0.25">
      <c r="A69" s="7" t="s">
        <v>21</v>
      </c>
      <c r="B69" s="8">
        <v>23456.21</v>
      </c>
      <c r="C69" s="8">
        <v>4.2300000000000004</v>
      </c>
      <c r="D69" s="8">
        <v>17.54</v>
      </c>
      <c r="E69" s="10">
        <v>1</v>
      </c>
      <c r="F69" s="11" t="s">
        <v>58</v>
      </c>
      <c r="G69" s="11"/>
      <c r="H69" s="10" t="s">
        <v>59</v>
      </c>
      <c r="I69" s="9">
        <f>B69*C69*((1-D69/100)+D69/100*1*0.8)</f>
        <v>95739.138828036012</v>
      </c>
      <c r="J69" s="9">
        <f t="shared" ref="J69:J78" si="11">B69*C69*((1-D69/100)+D69/100*1.4*1.278)</f>
        <v>112954.33219636997</v>
      </c>
      <c r="K69" s="30">
        <f t="shared" ref="K69:K78" si="12">B69*C69*((1-D69/100)+D69/100*1.4*2.135)</f>
        <v>133834.62839868199</v>
      </c>
    </row>
    <row r="70" spans="1:12" x14ac:dyDescent="0.25">
      <c r="A70" s="7" t="s">
        <v>23</v>
      </c>
      <c r="B70" s="8">
        <v>23456.21</v>
      </c>
      <c r="C70" s="8">
        <v>8.49</v>
      </c>
      <c r="D70" s="8">
        <v>7.19</v>
      </c>
      <c r="E70" s="10">
        <v>1</v>
      </c>
      <c r="F70" s="11" t="s">
        <v>58</v>
      </c>
      <c r="G70" s="11"/>
      <c r="H70" s="10" t="s">
        <v>59</v>
      </c>
      <c r="I70" s="9">
        <f>B70*C70*((1-D70/100)+D70/100*1*0.8)</f>
        <v>196279.54335469799</v>
      </c>
      <c r="J70" s="9">
        <f t="shared" si="11"/>
        <v>210443.30238576166</v>
      </c>
      <c r="K70" s="30">
        <f t="shared" si="12"/>
        <v>227622.51597802839</v>
      </c>
    </row>
    <row r="71" spans="1:12" x14ac:dyDescent="0.25">
      <c r="A71" s="7" t="s">
        <v>24</v>
      </c>
      <c r="B71" s="8">
        <v>23456.21</v>
      </c>
      <c r="C71" s="8">
        <v>13.38</v>
      </c>
      <c r="D71" s="8">
        <v>1.89</v>
      </c>
      <c r="E71" s="10">
        <v>1</v>
      </c>
      <c r="F71" s="11" t="s">
        <v>58</v>
      </c>
      <c r="G71" s="11"/>
      <c r="H71" s="10" t="s">
        <v>59</v>
      </c>
      <c r="I71" s="9">
        <f>B71*C71*((1-D71/100)+D71/100*1*0.8)</f>
        <v>312657.75914055604</v>
      </c>
      <c r="J71" s="9">
        <f t="shared" si="11"/>
        <v>318525.35058216605</v>
      </c>
      <c r="K71" s="30">
        <f t="shared" si="12"/>
        <v>325642.14820817055</v>
      </c>
    </row>
    <row r="72" spans="1:12" x14ac:dyDescent="0.25">
      <c r="A72" s="7" t="s">
        <v>26</v>
      </c>
      <c r="B72" s="8">
        <v>23456.21</v>
      </c>
      <c r="C72" s="8">
        <v>17.89</v>
      </c>
      <c r="D72" s="8">
        <v>2.44</v>
      </c>
      <c r="E72" s="10">
        <v>1</v>
      </c>
      <c r="F72" s="11" t="s">
        <v>58</v>
      </c>
      <c r="G72" s="11"/>
      <c r="H72" s="10" t="s">
        <v>59</v>
      </c>
      <c r="I72" s="9">
        <f>B72*C72*((1-D72/100)+D72/100*1*0.8)</f>
        <v>417583.79470712802</v>
      </c>
      <c r="J72" s="9">
        <f t="shared" si="11"/>
        <v>427712.22435307299</v>
      </c>
      <c r="K72" s="30">
        <f t="shared" si="12"/>
        <v>439996.98970811203</v>
      </c>
    </row>
    <row r="73" spans="1:12" x14ac:dyDescent="0.25">
      <c r="A73" s="7" t="s">
        <v>27</v>
      </c>
      <c r="B73" s="8">
        <v>23456.21</v>
      </c>
      <c r="C73" s="8">
        <v>34.58</v>
      </c>
      <c r="D73" s="8">
        <v>0.73</v>
      </c>
      <c r="E73" s="10">
        <v>1</v>
      </c>
      <c r="F73" s="11" t="s">
        <v>58</v>
      </c>
      <c r="G73" s="11"/>
      <c r="H73" s="10" t="s">
        <v>59</v>
      </c>
      <c r="I73" s="9">
        <f>B73*C73*((1-D73/100)+D73/100*1*0.8)</f>
        <v>809931.51281697198</v>
      </c>
      <c r="J73" s="9">
        <f t="shared" si="11"/>
        <v>815788.70936702844</v>
      </c>
      <c r="K73" s="30">
        <f t="shared" si="12"/>
        <v>822892.89903621352</v>
      </c>
    </row>
    <row r="74" spans="1:12" x14ac:dyDescent="0.25">
      <c r="A74" s="7" t="s">
        <v>28</v>
      </c>
      <c r="B74" s="8">
        <v>13285.02</v>
      </c>
      <c r="C74" s="8">
        <v>7.73</v>
      </c>
      <c r="D74" s="8">
        <v>3.76</v>
      </c>
      <c r="E74" s="10">
        <v>1</v>
      </c>
      <c r="F74" s="11" t="s">
        <v>60</v>
      </c>
      <c r="G74" s="11"/>
      <c r="H74" s="10" t="s">
        <v>59</v>
      </c>
      <c r="I74" s="9">
        <f>B74*C74*((1-D74/100)+D74/100*1*1)</f>
        <v>102693.20460000001</v>
      </c>
      <c r="J74" s="9">
        <f t="shared" si="11"/>
        <v>105740.51453784405</v>
      </c>
      <c r="K74" s="30">
        <f t="shared" si="12"/>
        <v>110373.25967649746</v>
      </c>
    </row>
    <row r="75" spans="1:12" x14ac:dyDescent="0.25">
      <c r="A75" s="7" t="s">
        <v>29</v>
      </c>
      <c r="B75" s="8">
        <v>13285.02</v>
      </c>
      <c r="C75" s="8">
        <v>11.25</v>
      </c>
      <c r="D75" s="8">
        <v>6.78</v>
      </c>
      <c r="E75" s="10">
        <v>1</v>
      </c>
      <c r="F75" s="11" t="s">
        <v>60</v>
      </c>
      <c r="G75" s="11"/>
      <c r="H75" s="10" t="s">
        <v>59</v>
      </c>
      <c r="I75" s="9">
        <f>B75*C75*((1-D75/100)+D75/100*1*1)</f>
        <v>149456.47500000001</v>
      </c>
      <c r="J75" s="9">
        <f t="shared" si="11"/>
        <v>157453.55619474602</v>
      </c>
      <c r="K75" s="30">
        <f t="shared" si="12"/>
        <v>169611.30837094499</v>
      </c>
    </row>
    <row r="76" spans="1:12" x14ac:dyDescent="0.25">
      <c r="A76" s="7" t="s">
        <v>30</v>
      </c>
      <c r="B76" s="8">
        <v>13285.02</v>
      </c>
      <c r="C76" s="8">
        <v>15.26</v>
      </c>
      <c r="D76" s="8">
        <v>0.43</v>
      </c>
      <c r="E76" s="10">
        <v>1</v>
      </c>
      <c r="F76" s="11" t="s">
        <v>60</v>
      </c>
      <c r="G76" s="11"/>
      <c r="H76" s="10" t="s">
        <v>59</v>
      </c>
      <c r="I76" s="9">
        <f>B76*C76*((1-D76/100)+D76/100*1*1)</f>
        <v>202729.40520000001</v>
      </c>
      <c r="J76" s="9">
        <f t="shared" si="11"/>
        <v>203417.37960031055</v>
      </c>
      <c r="K76" s="30">
        <f t="shared" si="12"/>
        <v>204463.28898385406</v>
      </c>
    </row>
    <row r="77" spans="1:12" x14ac:dyDescent="0.25">
      <c r="A77" s="7" t="s">
        <v>31</v>
      </c>
      <c r="B77" s="8">
        <v>13285.02</v>
      </c>
      <c r="C77" s="8">
        <v>23.85</v>
      </c>
      <c r="D77" s="8">
        <v>0.32</v>
      </c>
      <c r="E77" s="10">
        <v>1</v>
      </c>
      <c r="F77" s="11" t="s">
        <v>60</v>
      </c>
      <c r="G77" s="11"/>
      <c r="H77" s="10" t="s">
        <v>59</v>
      </c>
      <c r="I77" s="9">
        <f>B77*C77*((1-D77/100)+D77/100*1*1)</f>
        <v>316847.72700000001</v>
      </c>
      <c r="J77" s="9">
        <f t="shared" si="11"/>
        <v>317647.90692367492</v>
      </c>
      <c r="K77" s="30">
        <f t="shared" si="12"/>
        <v>318864.39941280964</v>
      </c>
    </row>
    <row r="78" spans="1:12" ht="15.75" thickBot="1" x14ac:dyDescent="0.3">
      <c r="A78" s="13" t="s">
        <v>32</v>
      </c>
      <c r="B78" s="14">
        <v>13285.02</v>
      </c>
      <c r="C78" s="14">
        <v>35.24</v>
      </c>
      <c r="D78" s="14">
        <v>0.67</v>
      </c>
      <c r="E78" s="16">
        <v>1</v>
      </c>
      <c r="F78" s="17" t="s">
        <v>60</v>
      </c>
      <c r="G78" s="17"/>
      <c r="H78" s="16" t="s">
        <v>59</v>
      </c>
      <c r="I78" s="15">
        <f>B78*C78*((1-D78/100)+D78/100*1*1)</f>
        <v>468164.10480000003</v>
      </c>
      <c r="J78" s="15">
        <f t="shared" si="11"/>
        <v>470639.58804710465</v>
      </c>
      <c r="K78" s="31">
        <f t="shared" si="12"/>
        <v>474403.00010979624</v>
      </c>
    </row>
    <row r="79" spans="1:12" ht="19.5" thickBot="1" x14ac:dyDescent="0.35">
      <c r="A79" s="192" t="s">
        <v>61</v>
      </c>
      <c r="B79" s="193"/>
      <c r="C79" s="193"/>
      <c r="D79" s="193"/>
      <c r="E79" s="193"/>
      <c r="F79" s="193"/>
      <c r="G79" s="193"/>
      <c r="H79" s="193"/>
      <c r="I79" s="193"/>
      <c r="J79" s="193"/>
      <c r="K79" s="194"/>
      <c r="L79" t="s">
        <v>62</v>
      </c>
    </row>
    <row r="80" spans="1:12" x14ac:dyDescent="0.25">
      <c r="A80" s="195"/>
      <c r="B80" s="196" t="s">
        <v>10</v>
      </c>
      <c r="C80" s="196" t="s">
        <v>11</v>
      </c>
      <c r="D80" s="196" t="s">
        <v>12</v>
      </c>
      <c r="E80" s="197" t="s">
        <v>13</v>
      </c>
      <c r="F80" s="198"/>
      <c r="G80" s="199"/>
      <c r="H80" s="188" t="s">
        <v>14</v>
      </c>
      <c r="I80" s="188" t="s">
        <v>15</v>
      </c>
      <c r="J80" s="188" t="s">
        <v>63</v>
      </c>
      <c r="K80" s="188" t="s">
        <v>17</v>
      </c>
    </row>
    <row r="81" spans="1:12" ht="90" x14ac:dyDescent="0.25">
      <c r="A81" s="179"/>
      <c r="B81" s="180"/>
      <c r="C81" s="180"/>
      <c r="D81" s="180"/>
      <c r="E81" s="5" t="s">
        <v>51</v>
      </c>
      <c r="F81" s="5" t="s">
        <v>52</v>
      </c>
      <c r="G81" s="5" t="s">
        <v>20</v>
      </c>
      <c r="H81" s="182"/>
      <c r="I81" s="182"/>
      <c r="J81" s="182"/>
      <c r="K81" s="182"/>
    </row>
    <row r="82" spans="1:12" x14ac:dyDescent="0.25">
      <c r="A82" s="19" t="s">
        <v>34</v>
      </c>
      <c r="B82" s="32">
        <v>24493.23</v>
      </c>
      <c r="C82" s="20">
        <v>4.88</v>
      </c>
      <c r="D82" s="21">
        <v>5.8400000000000001E-2</v>
      </c>
      <c r="E82" s="20">
        <v>1</v>
      </c>
      <c r="F82" s="20" t="s">
        <v>64</v>
      </c>
      <c r="G82" s="20"/>
      <c r="H82" s="20" t="s">
        <v>65</v>
      </c>
      <c r="I82" s="8">
        <f t="shared" ref="I82:I93" si="13">B82*C82*((1-D82)+D82*E82*1.255*0.8)+0</f>
        <v>119554.88389841664</v>
      </c>
      <c r="J82" s="8">
        <f t="shared" ref="J82:J93" si="14">B82*C82*((1-D82)+D82*E82*1.4*1.283)+0</f>
        <v>125084.73665983217</v>
      </c>
      <c r="K82" s="22">
        <f t="shared" ref="K82:K93" si="15">B82*C82*((1-D82)+D82*E82*1.4*1.836)+0</f>
        <v>130488.94267837284</v>
      </c>
    </row>
    <row r="83" spans="1:12" x14ac:dyDescent="0.25">
      <c r="A83" s="19" t="s">
        <v>36</v>
      </c>
      <c r="B83" s="32">
        <v>24493.23</v>
      </c>
      <c r="C83" s="20">
        <v>8.07</v>
      </c>
      <c r="D83" s="23">
        <v>3.32E-2</v>
      </c>
      <c r="E83" s="20">
        <v>1</v>
      </c>
      <c r="F83" s="20" t="s">
        <v>64</v>
      </c>
      <c r="G83" s="20"/>
      <c r="H83" s="20" t="s">
        <v>65</v>
      </c>
      <c r="I83" s="8">
        <f t="shared" si="13"/>
        <v>197686.61539661812</v>
      </c>
      <c r="J83" s="8">
        <f t="shared" si="14"/>
        <v>202885.28859182884</v>
      </c>
      <c r="K83" s="22">
        <f t="shared" si="15"/>
        <v>207965.83995225822</v>
      </c>
    </row>
    <row r="84" spans="1:12" x14ac:dyDescent="0.25">
      <c r="A84" s="24" t="s">
        <v>37</v>
      </c>
      <c r="B84" s="32">
        <v>24493.23</v>
      </c>
      <c r="C84" s="20">
        <v>10.11</v>
      </c>
      <c r="D84" s="23">
        <v>2.1499999999999998E-2</v>
      </c>
      <c r="E84" s="20">
        <v>1</v>
      </c>
      <c r="F84" s="20" t="s">
        <v>64</v>
      </c>
      <c r="G84" s="20"/>
      <c r="H84" s="20" t="s">
        <v>65</v>
      </c>
      <c r="I84" s="8">
        <f t="shared" si="13"/>
        <v>247647.85118375579</v>
      </c>
      <c r="J84" s="8">
        <f t="shared" si="14"/>
        <v>251865.50096159196</v>
      </c>
      <c r="K84" s="22">
        <f t="shared" si="15"/>
        <v>255987.31926252707</v>
      </c>
    </row>
    <row r="85" spans="1:12" x14ac:dyDescent="0.25">
      <c r="A85" s="24" t="s">
        <v>38</v>
      </c>
      <c r="B85" s="32">
        <v>24493.23</v>
      </c>
      <c r="C85" s="20">
        <v>13.86</v>
      </c>
      <c r="D85" s="23">
        <v>1.55E-2</v>
      </c>
      <c r="E85" s="20">
        <v>1</v>
      </c>
      <c r="F85" s="20" t="s">
        <v>64</v>
      </c>
      <c r="G85" s="20"/>
      <c r="H85" s="20" t="s">
        <v>65</v>
      </c>
      <c r="I85" s="8">
        <f t="shared" si="13"/>
        <v>339497.21532240359</v>
      </c>
      <c r="J85" s="8">
        <f t="shared" si="14"/>
        <v>343665.67713443656</v>
      </c>
      <c r="K85" s="22">
        <f t="shared" si="15"/>
        <v>347739.42509565339</v>
      </c>
    </row>
    <row r="86" spans="1:12" x14ac:dyDescent="0.25">
      <c r="A86" s="24" t="s">
        <v>39</v>
      </c>
      <c r="B86" s="32">
        <v>24493.23</v>
      </c>
      <c r="C86" s="20">
        <v>17.2</v>
      </c>
      <c r="D86" s="23">
        <v>1.1900000000000001E-2</v>
      </c>
      <c r="E86" s="20">
        <v>1</v>
      </c>
      <c r="F86" s="20" t="s">
        <v>64</v>
      </c>
      <c r="G86" s="20"/>
      <c r="H86" s="20" t="s">
        <v>65</v>
      </c>
      <c r="I86" s="8">
        <f t="shared" si="13"/>
        <v>421303.60909726558</v>
      </c>
      <c r="J86" s="8">
        <f t="shared" si="14"/>
        <v>425275.1250107176</v>
      </c>
      <c r="K86" s="22">
        <f t="shared" si="15"/>
        <v>429156.40198647452</v>
      </c>
    </row>
    <row r="87" spans="1:12" x14ac:dyDescent="0.25">
      <c r="A87" s="24" t="s">
        <v>40</v>
      </c>
      <c r="B87" s="32">
        <v>24493.23</v>
      </c>
      <c r="C87" s="20">
        <v>29.17</v>
      </c>
      <c r="D87" s="23">
        <v>6.8999999999999999E-3</v>
      </c>
      <c r="E87" s="20">
        <v>1</v>
      </c>
      <c r="F87" s="20" t="s">
        <v>64</v>
      </c>
      <c r="G87" s="20"/>
      <c r="H87" s="20" t="s">
        <v>65</v>
      </c>
      <c r="I87" s="8">
        <f t="shared" si="13"/>
        <v>714487.23840352718</v>
      </c>
      <c r="J87" s="8">
        <f t="shared" si="14"/>
        <v>718392.64646708115</v>
      </c>
      <c r="K87" s="22">
        <f t="shared" si="15"/>
        <v>722209.31766476308</v>
      </c>
    </row>
    <row r="88" spans="1:12" x14ac:dyDescent="0.25">
      <c r="A88" s="19" t="s">
        <v>41</v>
      </c>
      <c r="B88" s="8">
        <v>13915.65</v>
      </c>
      <c r="C88" s="20">
        <v>8.57</v>
      </c>
      <c r="D88" s="25">
        <v>0.15079999999999999</v>
      </c>
      <c r="E88" s="20">
        <v>1</v>
      </c>
      <c r="F88" s="20" t="s">
        <v>64</v>
      </c>
      <c r="G88" s="20"/>
      <c r="H88" s="20" t="s">
        <v>65</v>
      </c>
      <c r="I88" s="8">
        <f t="shared" si="13"/>
        <v>119329.0563950856</v>
      </c>
      <c r="J88" s="8">
        <f t="shared" si="14"/>
        <v>133575.96041678867</v>
      </c>
      <c r="K88" s="22">
        <f t="shared" si="15"/>
        <v>147499.15291060656</v>
      </c>
    </row>
    <row r="89" spans="1:12" x14ac:dyDescent="0.25">
      <c r="A89" s="7" t="s">
        <v>42</v>
      </c>
      <c r="B89" s="8">
        <v>13915.65</v>
      </c>
      <c r="C89" s="20">
        <v>9.65</v>
      </c>
      <c r="D89" s="25">
        <v>0.14910000000000001</v>
      </c>
      <c r="E89" s="20">
        <v>1</v>
      </c>
      <c r="F89" s="20" t="s">
        <v>64</v>
      </c>
      <c r="G89" s="20"/>
      <c r="H89" s="20" t="s">
        <v>65</v>
      </c>
      <c r="I89" s="8">
        <f t="shared" si="13"/>
        <v>134366.11068381899</v>
      </c>
      <c r="J89" s="8">
        <f t="shared" si="14"/>
        <v>150227.57548917193</v>
      </c>
      <c r="K89" s="22">
        <f t="shared" si="15"/>
        <v>165728.6434673394</v>
      </c>
    </row>
    <row r="90" spans="1:12" x14ac:dyDescent="0.25">
      <c r="A90" s="7" t="s">
        <v>43</v>
      </c>
      <c r="B90" s="8">
        <v>13915.65</v>
      </c>
      <c r="C90" s="20">
        <v>13.5</v>
      </c>
      <c r="D90" s="25">
        <v>9.9900000000000003E-2</v>
      </c>
      <c r="E90" s="20">
        <v>1</v>
      </c>
      <c r="F90" s="20" t="s">
        <v>64</v>
      </c>
      <c r="G90" s="20"/>
      <c r="H90" s="20" t="s">
        <v>65</v>
      </c>
      <c r="I90" s="8">
        <f t="shared" si="13"/>
        <v>187936.34436548999</v>
      </c>
      <c r="J90" s="8">
        <f t="shared" si="14"/>
        <v>202803.8322007845</v>
      </c>
      <c r="K90" s="22">
        <f t="shared" si="15"/>
        <v>217333.50789137397</v>
      </c>
    </row>
    <row r="91" spans="1:12" x14ac:dyDescent="0.25">
      <c r="A91" s="7" t="s">
        <v>44</v>
      </c>
      <c r="B91" s="8">
        <v>13915.65</v>
      </c>
      <c r="C91" s="20">
        <v>16.03</v>
      </c>
      <c r="D91" s="25">
        <v>8.4900000000000003E-2</v>
      </c>
      <c r="E91" s="20">
        <v>1</v>
      </c>
      <c r="F91" s="20" t="s">
        <v>64</v>
      </c>
      <c r="G91" s="7"/>
      <c r="H91" s="20" t="s">
        <v>65</v>
      </c>
      <c r="I91" s="8">
        <f t="shared" si="13"/>
        <v>223143.62334848219</v>
      </c>
      <c r="J91" s="8">
        <f t="shared" si="14"/>
        <v>238146.67304038192</v>
      </c>
      <c r="K91" s="22">
        <f t="shared" si="15"/>
        <v>252808.83041411173</v>
      </c>
    </row>
    <row r="92" spans="1:12" x14ac:dyDescent="0.25">
      <c r="A92" s="24" t="s">
        <v>45</v>
      </c>
      <c r="B92" s="8">
        <v>13915.65</v>
      </c>
      <c r="C92" s="20">
        <v>27.22</v>
      </c>
      <c r="D92" s="25">
        <v>2.8199999999999999E-2</v>
      </c>
      <c r="E92" s="20">
        <v>1</v>
      </c>
      <c r="F92" s="20" t="s">
        <v>64</v>
      </c>
      <c r="G92" s="7"/>
      <c r="H92" s="20" t="s">
        <v>65</v>
      </c>
      <c r="I92" s="8">
        <f t="shared" si="13"/>
        <v>378826.71983441035</v>
      </c>
      <c r="J92" s="8">
        <f t="shared" si="14"/>
        <v>387288.76938939007</v>
      </c>
      <c r="K92" s="22">
        <f t="shared" si="15"/>
        <v>395558.54818952299</v>
      </c>
    </row>
    <row r="93" spans="1:12" ht="15.75" thickBot="1" x14ac:dyDescent="0.3">
      <c r="A93" s="24" t="s">
        <v>46</v>
      </c>
      <c r="B93" s="8">
        <v>13915.65</v>
      </c>
      <c r="C93" s="20">
        <v>56.65</v>
      </c>
      <c r="D93" s="25">
        <v>2.3E-3</v>
      </c>
      <c r="E93" s="20">
        <v>1</v>
      </c>
      <c r="F93" s="20" t="s">
        <v>64</v>
      </c>
      <c r="G93" s="7"/>
      <c r="H93" s="20" t="s">
        <v>65</v>
      </c>
      <c r="I93" s="8">
        <f t="shared" si="13"/>
        <v>788328.82505846699</v>
      </c>
      <c r="J93" s="8">
        <f t="shared" si="14"/>
        <v>789765.1942628565</v>
      </c>
      <c r="K93" s="22">
        <f t="shared" si="15"/>
        <v>791168.92695414415</v>
      </c>
    </row>
    <row r="94" spans="1:12" ht="19.5" thickBot="1" x14ac:dyDescent="0.35">
      <c r="A94" s="185" t="s">
        <v>66</v>
      </c>
      <c r="B94" s="186"/>
      <c r="C94" s="186"/>
      <c r="D94" s="186"/>
      <c r="E94" s="186"/>
      <c r="F94" s="186"/>
      <c r="G94" s="186"/>
      <c r="H94" s="186"/>
      <c r="I94" s="186"/>
      <c r="J94" s="186"/>
      <c r="K94" s="187"/>
      <c r="L94" t="s">
        <v>67</v>
      </c>
    </row>
    <row r="95" spans="1:12" ht="15" customHeight="1" x14ac:dyDescent="0.25">
      <c r="A95" s="178"/>
      <c r="B95" s="180" t="s">
        <v>10</v>
      </c>
      <c r="C95" s="180" t="s">
        <v>11</v>
      </c>
      <c r="D95" s="180" t="s">
        <v>12</v>
      </c>
      <c r="E95" s="179" t="s">
        <v>13</v>
      </c>
      <c r="F95" s="179"/>
      <c r="G95" s="179"/>
      <c r="H95" s="182" t="s">
        <v>14</v>
      </c>
      <c r="I95" s="182" t="s">
        <v>15</v>
      </c>
      <c r="J95" s="188" t="s">
        <v>68</v>
      </c>
      <c r="K95" s="182" t="s">
        <v>17</v>
      </c>
    </row>
    <row r="96" spans="1:12" ht="90" x14ac:dyDescent="0.25">
      <c r="A96" s="179"/>
      <c r="B96" s="181"/>
      <c r="C96" s="181"/>
      <c r="D96" s="181"/>
      <c r="E96" s="5" t="s">
        <v>51</v>
      </c>
      <c r="F96" s="5" t="s">
        <v>52</v>
      </c>
      <c r="G96" s="5" t="s">
        <v>20</v>
      </c>
      <c r="H96" s="183"/>
      <c r="I96" s="183"/>
      <c r="J96" s="182"/>
      <c r="K96" s="183"/>
    </row>
    <row r="97" spans="1:12" x14ac:dyDescent="0.25">
      <c r="A97" s="7" t="s">
        <v>21</v>
      </c>
      <c r="B97" s="8">
        <v>23457</v>
      </c>
      <c r="C97" s="8">
        <v>4.2300000000000004</v>
      </c>
      <c r="D97" s="8">
        <v>17.54</v>
      </c>
      <c r="E97" s="10">
        <v>1</v>
      </c>
      <c r="F97" s="11" t="s">
        <v>69</v>
      </c>
      <c r="G97" s="11"/>
      <c r="H97" s="10">
        <v>1</v>
      </c>
      <c r="I97" s="9">
        <f>B97*C97*((1-D97/100)+D97/100*1*0.9)</f>
        <v>97482.736650600011</v>
      </c>
      <c r="J97" s="9">
        <f>B97*C97*((1-D97/100)+D97/100*1.25*1)</f>
        <v>103574.04337350001</v>
      </c>
      <c r="K97" s="30">
        <f>B97*C97*((1-D97/100)+D97/100*1*1.25)</f>
        <v>103574.04337350001</v>
      </c>
    </row>
    <row r="98" spans="1:12" x14ac:dyDescent="0.25">
      <c r="A98" s="7" t="s">
        <v>23</v>
      </c>
      <c r="B98" s="8">
        <v>23457</v>
      </c>
      <c r="C98" s="8">
        <v>8.49</v>
      </c>
      <c r="D98" s="8">
        <v>7.19</v>
      </c>
      <c r="E98" s="10">
        <v>1</v>
      </c>
      <c r="F98" s="11" t="s">
        <v>69</v>
      </c>
      <c r="G98" s="11"/>
      <c r="H98" s="10">
        <v>1</v>
      </c>
      <c r="I98" s="9">
        <f>B98*C98*((1-D98/100)+D98/100*1*0.9)</f>
        <v>197718.04200330001</v>
      </c>
      <c r="J98" s="9">
        <f>B98*C98*((1-D98/100)+D98/100*1.25*1)</f>
        <v>202729.64999175002</v>
      </c>
      <c r="K98" s="30">
        <f>B98*C98*((1-D98/100)+D98/100*1*1.25)</f>
        <v>202729.64999175002</v>
      </c>
    </row>
    <row r="99" spans="1:12" x14ac:dyDescent="0.25">
      <c r="A99" s="7" t="s">
        <v>24</v>
      </c>
      <c r="B99" s="8">
        <v>23457</v>
      </c>
      <c r="C99" s="8">
        <v>13.38</v>
      </c>
      <c r="D99" s="8">
        <v>1.89</v>
      </c>
      <c r="E99" s="10">
        <v>1</v>
      </c>
      <c r="F99" s="11" t="s">
        <v>69</v>
      </c>
      <c r="G99" s="11"/>
      <c r="H99" s="10">
        <v>1</v>
      </c>
      <c r="I99" s="9">
        <f>B99*C99*((1-D99/100)+D99/100*1*0.9)</f>
        <v>313261.47469260002</v>
      </c>
      <c r="J99" s="9">
        <f>B99*C99*((1-D99/100)+D99/100*1.25*1)</f>
        <v>315337.62326849997</v>
      </c>
      <c r="K99" s="30">
        <f>B99*C99*((1-D99/100)+D99/100*1*1.25)</f>
        <v>315337.62326849997</v>
      </c>
    </row>
    <row r="100" spans="1:12" x14ac:dyDescent="0.25">
      <c r="A100" s="7" t="s">
        <v>26</v>
      </c>
      <c r="B100" s="8">
        <v>23457</v>
      </c>
      <c r="C100" s="8">
        <v>17.89</v>
      </c>
      <c r="D100" s="8">
        <v>2.44</v>
      </c>
      <c r="E100" s="10">
        <v>1</v>
      </c>
      <c r="F100" s="11" t="s">
        <v>69</v>
      </c>
      <c r="G100" s="11"/>
      <c r="H100" s="10">
        <v>1</v>
      </c>
      <c r="I100" s="9">
        <f>B100*C100*((1-D100/100)+D100/100*1*0.9)</f>
        <v>418621.79441880004</v>
      </c>
      <c r="J100" s="9">
        <f>B100*C100*((1-D100/100)+D100/100*1.25*1)</f>
        <v>422205.56895300001</v>
      </c>
      <c r="K100" s="30">
        <f>B100*C100*((1-D100/100)+D100/100*1*1.25)</f>
        <v>422205.56895300001</v>
      </c>
    </row>
    <row r="101" spans="1:12" x14ac:dyDescent="0.25">
      <c r="A101" s="7" t="s">
        <v>27</v>
      </c>
      <c r="B101" s="8">
        <v>23457</v>
      </c>
      <c r="C101" s="8">
        <v>34.58</v>
      </c>
      <c r="D101" s="8">
        <v>0.73</v>
      </c>
      <c r="E101" s="10">
        <v>1</v>
      </c>
      <c r="F101" s="11" t="s">
        <v>69</v>
      </c>
      <c r="G101" s="11"/>
      <c r="H101" s="10">
        <v>1</v>
      </c>
      <c r="I101" s="9">
        <f>B101*C101*((1-D101/100)+D101/100*1*0.9)</f>
        <v>810550.92556619993</v>
      </c>
      <c r="J101" s="9">
        <f>B101*C101*((1-D101/100)+D101/100*1.25*1)</f>
        <v>812623.39608449989</v>
      </c>
      <c r="K101" s="30">
        <f>B101*C101*((1-D101/100)+D101/100*1*1.25)</f>
        <v>812623.39608449989</v>
      </c>
    </row>
    <row r="102" spans="1:12" x14ac:dyDescent="0.25">
      <c r="A102" s="7" t="s">
        <v>28</v>
      </c>
      <c r="B102" s="8">
        <v>13286</v>
      </c>
      <c r="C102" s="8">
        <v>7.73</v>
      </c>
      <c r="D102" s="8">
        <v>3.76</v>
      </c>
      <c r="E102" s="10">
        <v>1</v>
      </c>
      <c r="F102" s="10">
        <v>1</v>
      </c>
      <c r="G102" s="11"/>
      <c r="H102" s="10">
        <v>1</v>
      </c>
      <c r="I102" s="9">
        <f>B102*C102*((1-D102/100)+D102/100*1*1)</f>
        <v>102700.78</v>
      </c>
      <c r="J102" s="9">
        <f>B102*C102*((1-D102/100)+D102/100*1*1)</f>
        <v>102700.78</v>
      </c>
      <c r="K102" s="30">
        <f>B102*C102*((1-D102/100)+D102/100*1*1)</f>
        <v>102700.78</v>
      </c>
    </row>
    <row r="103" spans="1:12" x14ac:dyDescent="0.25">
      <c r="A103" s="7" t="s">
        <v>29</v>
      </c>
      <c r="B103" s="8">
        <v>13286</v>
      </c>
      <c r="C103" s="8">
        <v>11.25</v>
      </c>
      <c r="D103" s="8">
        <v>6.78</v>
      </c>
      <c r="E103" s="10">
        <v>1</v>
      </c>
      <c r="F103" s="10">
        <v>1</v>
      </c>
      <c r="G103" s="11"/>
      <c r="H103" s="10">
        <v>1</v>
      </c>
      <c r="I103" s="9">
        <f>B103*C103*((1-D103/100)+D103/100*1*1)</f>
        <v>149467.5</v>
      </c>
      <c r="J103" s="9">
        <f>B103*C103*((1-D103/100)+D103/100*1*1)</f>
        <v>149467.5</v>
      </c>
      <c r="K103" s="30">
        <f>B103*C103*((1-D103/100)+D103/100*1*1)</f>
        <v>149467.5</v>
      </c>
    </row>
    <row r="104" spans="1:12" x14ac:dyDescent="0.25">
      <c r="A104" s="7" t="s">
        <v>30</v>
      </c>
      <c r="B104" s="8">
        <v>13286</v>
      </c>
      <c r="C104" s="8">
        <v>15.26</v>
      </c>
      <c r="D104" s="8">
        <v>0.43</v>
      </c>
      <c r="E104" s="10">
        <v>1</v>
      </c>
      <c r="F104" s="10">
        <v>1</v>
      </c>
      <c r="G104" s="11"/>
      <c r="H104" s="10">
        <v>1</v>
      </c>
      <c r="I104" s="9">
        <f>B104*C104*((1-D104/100)+D104/100*1*1)</f>
        <v>202744.36</v>
      </c>
      <c r="J104" s="9">
        <f>B104*C104*((1-D104/100)+D104/100*1*1)</f>
        <v>202744.36</v>
      </c>
      <c r="K104" s="30">
        <f>B104*C104*((1-D104/100)+D104/100*1*1)</f>
        <v>202744.36</v>
      </c>
    </row>
    <row r="105" spans="1:12" x14ac:dyDescent="0.25">
      <c r="A105" s="7" t="s">
        <v>31</v>
      </c>
      <c r="B105" s="8">
        <v>13286</v>
      </c>
      <c r="C105" s="8">
        <v>23.85</v>
      </c>
      <c r="D105" s="8">
        <v>0.32</v>
      </c>
      <c r="E105" s="10">
        <v>1</v>
      </c>
      <c r="F105" s="10">
        <v>1</v>
      </c>
      <c r="G105" s="11"/>
      <c r="H105" s="10">
        <v>1</v>
      </c>
      <c r="I105" s="9">
        <f>B105*C105*((1-D105/100)+D105/100*1*1)</f>
        <v>316871.10000000003</v>
      </c>
      <c r="J105" s="9">
        <f>B105*C105*((1-D105/100)+D105/100*1*1)</f>
        <v>316871.10000000003</v>
      </c>
      <c r="K105" s="30">
        <f>B105*C105*((1-D105/100)+D105/100*1*1)</f>
        <v>316871.10000000003</v>
      </c>
    </row>
    <row r="106" spans="1:12" ht="15.75" thickBot="1" x14ac:dyDescent="0.3">
      <c r="A106" s="13" t="s">
        <v>32</v>
      </c>
      <c r="B106" s="14">
        <v>13286</v>
      </c>
      <c r="C106" s="14">
        <v>35.24</v>
      </c>
      <c r="D106" s="14">
        <v>0.67</v>
      </c>
      <c r="E106" s="16">
        <v>1</v>
      </c>
      <c r="F106" s="16">
        <v>1</v>
      </c>
      <c r="G106" s="17"/>
      <c r="H106" s="16">
        <v>1</v>
      </c>
      <c r="I106" s="15">
        <f>B106*C106*((1-D106/100)+D106/100*1*1)</f>
        <v>468198.64</v>
      </c>
      <c r="J106" s="15">
        <f>B106*C106*((1-D106/100)+D106/100*1*1)</f>
        <v>468198.64</v>
      </c>
      <c r="K106" s="31">
        <f>B106*C106*((1-D106/100)+D106/100*1*1)</f>
        <v>468198.64</v>
      </c>
    </row>
    <row r="107" spans="1:12" ht="19.5" thickBot="1" x14ac:dyDescent="0.35">
      <c r="A107" s="189" t="s">
        <v>70</v>
      </c>
      <c r="B107" s="190"/>
      <c r="C107" s="190"/>
      <c r="D107" s="190"/>
      <c r="E107" s="190"/>
      <c r="F107" s="190"/>
      <c r="G107" s="190"/>
      <c r="H107" s="190"/>
      <c r="I107" s="190"/>
      <c r="J107" s="190"/>
      <c r="K107" s="191"/>
      <c r="L107" t="s">
        <v>71</v>
      </c>
    </row>
    <row r="108" spans="1:12" x14ac:dyDescent="0.25">
      <c r="A108" s="178"/>
      <c r="B108" s="180" t="s">
        <v>10</v>
      </c>
      <c r="C108" s="180" t="s">
        <v>11</v>
      </c>
      <c r="D108" s="180" t="s">
        <v>12</v>
      </c>
      <c r="E108" s="179" t="s">
        <v>13</v>
      </c>
      <c r="F108" s="179"/>
      <c r="G108" s="179"/>
      <c r="H108" s="182" t="s">
        <v>14</v>
      </c>
      <c r="I108" s="182" t="s">
        <v>15</v>
      </c>
      <c r="J108" s="184" t="s">
        <v>68</v>
      </c>
      <c r="K108" s="182" t="s">
        <v>17</v>
      </c>
    </row>
    <row r="109" spans="1:12" ht="90" x14ac:dyDescent="0.25">
      <c r="A109" s="179"/>
      <c r="B109" s="181"/>
      <c r="C109" s="181"/>
      <c r="D109" s="181"/>
      <c r="E109" s="5" t="s">
        <v>51</v>
      </c>
      <c r="F109" s="5" t="s">
        <v>52</v>
      </c>
      <c r="G109" s="5" t="s">
        <v>20</v>
      </c>
      <c r="H109" s="183"/>
      <c r="I109" s="183"/>
      <c r="J109" s="182"/>
      <c r="K109" s="183"/>
    </row>
    <row r="110" spans="1:12" ht="30" x14ac:dyDescent="0.25">
      <c r="A110" s="19" t="s">
        <v>34</v>
      </c>
      <c r="B110" s="33">
        <v>24256</v>
      </c>
      <c r="C110" s="20">
        <v>4.88</v>
      </c>
      <c r="D110" s="21">
        <v>5.8400000000000001E-2</v>
      </c>
      <c r="E110" s="20">
        <v>1</v>
      </c>
      <c r="F110" s="34" t="s">
        <v>72</v>
      </c>
      <c r="G110" s="20"/>
      <c r="H110" s="20">
        <v>1</v>
      </c>
      <c r="I110" s="8">
        <f t="shared" ref="I110:I115" si="16">B110*C110*((1-D110)+D110*E110*1*0.8)+0</f>
        <v>116986.72680959999</v>
      </c>
      <c r="J110" s="8">
        <f t="shared" ref="J110:J115" si="17">B110*C110*((1-D110)+D110*E110*1*1.25)+0</f>
        <v>120097.471488</v>
      </c>
      <c r="K110" s="22">
        <f t="shared" ref="K110:K115" si="18">B110*C110*((1-D110)+D110*E110*1*1.3615)+0</f>
        <v>120868.24489164801</v>
      </c>
    </row>
    <row r="111" spans="1:12" ht="30" x14ac:dyDescent="0.25">
      <c r="A111" s="19" t="s">
        <v>36</v>
      </c>
      <c r="B111" s="33">
        <v>24256</v>
      </c>
      <c r="C111" s="20">
        <v>8.07</v>
      </c>
      <c r="D111" s="23">
        <v>3.32E-2</v>
      </c>
      <c r="E111" s="20">
        <v>1</v>
      </c>
      <c r="F111" s="35" t="s">
        <v>72</v>
      </c>
      <c r="G111" s="20"/>
      <c r="H111" s="20">
        <v>1</v>
      </c>
      <c r="I111" s="8">
        <f t="shared" si="16"/>
        <v>194446.16709120001</v>
      </c>
      <c r="J111" s="8">
        <f t="shared" si="17"/>
        <v>197370.61113600002</v>
      </c>
      <c r="K111" s="22">
        <f t="shared" si="18"/>
        <v>198095.223382656</v>
      </c>
    </row>
    <row r="112" spans="1:12" ht="30" x14ac:dyDescent="0.25">
      <c r="A112" s="24" t="s">
        <v>37</v>
      </c>
      <c r="B112" s="33">
        <v>24256</v>
      </c>
      <c r="C112" s="20">
        <v>10.11</v>
      </c>
      <c r="D112" s="23">
        <v>2.1499999999999998E-2</v>
      </c>
      <c r="E112" s="20">
        <v>1</v>
      </c>
      <c r="F112" s="35" t="s">
        <v>72</v>
      </c>
      <c r="G112" s="20"/>
      <c r="H112" s="20">
        <v>1</v>
      </c>
      <c r="I112" s="8">
        <f t="shared" si="16"/>
        <v>244173.67891199997</v>
      </c>
      <c r="J112" s="8">
        <f t="shared" si="17"/>
        <v>246546.26136</v>
      </c>
      <c r="K112" s="22">
        <f t="shared" si="18"/>
        <v>247134.13456655995</v>
      </c>
    </row>
    <row r="113" spans="1:12" ht="30" x14ac:dyDescent="0.25">
      <c r="A113" s="24" t="s">
        <v>38</v>
      </c>
      <c r="B113" s="33">
        <v>24256</v>
      </c>
      <c r="C113" s="20">
        <v>13.86</v>
      </c>
      <c r="D113" s="23">
        <v>1.55E-2</v>
      </c>
      <c r="E113" s="20">
        <v>1</v>
      </c>
      <c r="F113" s="35" t="s">
        <v>72</v>
      </c>
      <c r="G113" s="20"/>
      <c r="H113" s="20">
        <v>1</v>
      </c>
      <c r="I113" s="8">
        <f t="shared" si="16"/>
        <v>335145.97670399997</v>
      </c>
      <c r="J113" s="8">
        <f t="shared" si="17"/>
        <v>337490.88912000001</v>
      </c>
      <c r="K113" s="22">
        <f t="shared" si="18"/>
        <v>338071.90630752</v>
      </c>
    </row>
    <row r="114" spans="1:12" ht="30" x14ac:dyDescent="0.25">
      <c r="A114" s="24" t="s">
        <v>39</v>
      </c>
      <c r="B114" s="33">
        <v>24256</v>
      </c>
      <c r="C114" s="20">
        <v>17.2</v>
      </c>
      <c r="D114" s="23">
        <v>1.1900000000000001E-2</v>
      </c>
      <c r="E114" s="20">
        <v>1</v>
      </c>
      <c r="F114" s="35" t="s">
        <v>72</v>
      </c>
      <c r="G114" s="20"/>
      <c r="H114" s="20">
        <v>1</v>
      </c>
      <c r="I114" s="8">
        <f t="shared" si="16"/>
        <v>416210.25638400001</v>
      </c>
      <c r="J114" s="8">
        <f t="shared" si="17"/>
        <v>418444.37952000002</v>
      </c>
      <c r="K114" s="22">
        <f t="shared" si="18"/>
        <v>418997.94558592001</v>
      </c>
    </row>
    <row r="115" spans="1:12" ht="30" x14ac:dyDescent="0.25">
      <c r="A115" s="24" t="s">
        <v>40</v>
      </c>
      <c r="B115" s="33">
        <v>24256</v>
      </c>
      <c r="C115" s="20">
        <v>29.17</v>
      </c>
      <c r="D115" s="23">
        <v>6.8999999999999999E-3</v>
      </c>
      <c r="E115" s="20">
        <v>1</v>
      </c>
      <c r="F115" s="35" t="s">
        <v>72</v>
      </c>
      <c r="G115" s="20"/>
      <c r="H115" s="20">
        <v>1</v>
      </c>
      <c r="I115" s="8">
        <f t="shared" si="16"/>
        <v>706571.10442240001</v>
      </c>
      <c r="J115" s="8">
        <f t="shared" si="17"/>
        <v>708768.03947199997</v>
      </c>
      <c r="K115" s="22">
        <f t="shared" si="18"/>
        <v>709312.39115651208</v>
      </c>
    </row>
    <row r="116" spans="1:12" x14ac:dyDescent="0.25">
      <c r="A116" s="19" t="s">
        <v>41</v>
      </c>
      <c r="B116" s="33">
        <v>13916</v>
      </c>
      <c r="C116" s="20">
        <v>8.57</v>
      </c>
      <c r="D116" s="25">
        <v>0.15079999999999999</v>
      </c>
      <c r="E116" s="20">
        <v>1</v>
      </c>
      <c r="F116" s="20">
        <v>1</v>
      </c>
      <c r="G116" s="20"/>
      <c r="H116" s="20">
        <v>1</v>
      </c>
      <c r="I116" s="8">
        <f t="shared" ref="I116:I121" si="19">B116*C116*((1-D116)+D116*E116*1*1)+0</f>
        <v>119260.12000000001</v>
      </c>
      <c r="J116" s="8">
        <f t="shared" ref="J116:J121" si="20">B116*C116*((1-D116)+D116*E116*1*1)+0</f>
        <v>119260.12000000001</v>
      </c>
      <c r="K116" s="22">
        <f t="shared" ref="K116:K121" si="21">B116*C116*((1-D116)+D116*E116*1*1)+0</f>
        <v>119260.12000000001</v>
      </c>
    </row>
    <row r="117" spans="1:12" x14ac:dyDescent="0.25">
      <c r="A117" s="7" t="s">
        <v>42</v>
      </c>
      <c r="B117" s="33">
        <v>13916</v>
      </c>
      <c r="C117" s="20">
        <v>9.65</v>
      </c>
      <c r="D117" s="25">
        <v>0.14910000000000001</v>
      </c>
      <c r="E117" s="20">
        <v>1</v>
      </c>
      <c r="F117" s="20">
        <v>1</v>
      </c>
      <c r="G117" s="20"/>
      <c r="H117" s="20">
        <v>1</v>
      </c>
      <c r="I117" s="8">
        <f t="shared" si="19"/>
        <v>134289.4</v>
      </c>
      <c r="J117" s="8">
        <f t="shared" si="20"/>
        <v>134289.4</v>
      </c>
      <c r="K117" s="22">
        <f t="shared" si="21"/>
        <v>134289.4</v>
      </c>
    </row>
    <row r="118" spans="1:12" x14ac:dyDescent="0.25">
      <c r="A118" s="7" t="s">
        <v>43</v>
      </c>
      <c r="B118" s="33">
        <v>13916</v>
      </c>
      <c r="C118" s="20">
        <v>13.5</v>
      </c>
      <c r="D118" s="25">
        <v>9.9900000000000003E-2</v>
      </c>
      <c r="E118" s="20">
        <v>1</v>
      </c>
      <c r="F118" s="20">
        <v>1</v>
      </c>
      <c r="G118" s="20"/>
      <c r="H118" s="20">
        <v>1</v>
      </c>
      <c r="I118" s="8">
        <f t="shared" si="19"/>
        <v>187866</v>
      </c>
      <c r="J118" s="8">
        <f t="shared" si="20"/>
        <v>187866</v>
      </c>
      <c r="K118" s="22">
        <f t="shared" si="21"/>
        <v>187866</v>
      </c>
    </row>
    <row r="119" spans="1:12" x14ac:dyDescent="0.25">
      <c r="A119" s="7" t="s">
        <v>44</v>
      </c>
      <c r="B119" s="33">
        <v>13916</v>
      </c>
      <c r="C119" s="20">
        <v>16.03</v>
      </c>
      <c r="D119" s="25">
        <v>8.4900000000000003E-2</v>
      </c>
      <c r="E119" s="20">
        <v>1</v>
      </c>
      <c r="F119" s="20">
        <v>1</v>
      </c>
      <c r="G119" s="7"/>
      <c r="H119" s="20">
        <v>1</v>
      </c>
      <c r="I119" s="8">
        <f t="shared" si="19"/>
        <v>223073.48</v>
      </c>
      <c r="J119" s="8">
        <f t="shared" si="20"/>
        <v>223073.48</v>
      </c>
      <c r="K119" s="22">
        <f t="shared" si="21"/>
        <v>223073.48</v>
      </c>
    </row>
    <row r="120" spans="1:12" x14ac:dyDescent="0.25">
      <c r="A120" s="24" t="s">
        <v>45</v>
      </c>
      <c r="B120" s="33">
        <v>13916</v>
      </c>
      <c r="C120" s="20">
        <v>27.22</v>
      </c>
      <c r="D120" s="25">
        <v>2.8199999999999999E-2</v>
      </c>
      <c r="E120" s="20">
        <v>1</v>
      </c>
      <c r="F120" s="20">
        <v>1</v>
      </c>
      <c r="G120" s="7"/>
      <c r="H120" s="20">
        <v>1</v>
      </c>
      <c r="I120" s="8">
        <f t="shared" si="19"/>
        <v>378793.51999999996</v>
      </c>
      <c r="J120" s="8">
        <f t="shared" si="20"/>
        <v>378793.51999999996</v>
      </c>
      <c r="K120" s="22">
        <f t="shared" si="21"/>
        <v>378793.51999999996</v>
      </c>
    </row>
    <row r="121" spans="1:12" ht="15.75" thickBot="1" x14ac:dyDescent="0.3">
      <c r="A121" s="24" t="s">
        <v>46</v>
      </c>
      <c r="B121" s="33">
        <v>13916</v>
      </c>
      <c r="C121" s="20">
        <v>56.65</v>
      </c>
      <c r="D121" s="25">
        <v>2.3E-3</v>
      </c>
      <c r="E121" s="20">
        <v>1</v>
      </c>
      <c r="F121" s="20">
        <v>1</v>
      </c>
      <c r="G121" s="7"/>
      <c r="H121" s="20">
        <v>1</v>
      </c>
      <c r="I121" s="8">
        <f t="shared" si="19"/>
        <v>788341.4</v>
      </c>
      <c r="J121" s="8">
        <f t="shared" si="20"/>
        <v>788341.4</v>
      </c>
      <c r="K121" s="22">
        <f t="shared" si="21"/>
        <v>788341.4</v>
      </c>
    </row>
    <row r="122" spans="1:12" ht="19.5" thickBot="1" x14ac:dyDescent="0.35">
      <c r="A122" s="185" t="s">
        <v>73</v>
      </c>
      <c r="B122" s="186"/>
      <c r="C122" s="186"/>
      <c r="D122" s="186"/>
      <c r="E122" s="186"/>
      <c r="F122" s="186"/>
      <c r="G122" s="186"/>
      <c r="H122" s="186"/>
      <c r="I122" s="186"/>
      <c r="J122" s="186"/>
      <c r="K122" s="187"/>
      <c r="L122" t="s">
        <v>74</v>
      </c>
    </row>
    <row r="123" spans="1:12" ht="15" customHeight="1" x14ac:dyDescent="0.25">
      <c r="A123" s="178"/>
      <c r="B123" s="180" t="s">
        <v>10</v>
      </c>
      <c r="C123" s="180" t="s">
        <v>11</v>
      </c>
      <c r="D123" s="180" t="s">
        <v>12</v>
      </c>
      <c r="E123" s="179" t="s">
        <v>13</v>
      </c>
      <c r="F123" s="179"/>
      <c r="G123" s="179"/>
      <c r="H123" s="182" t="s">
        <v>14</v>
      </c>
      <c r="I123" s="182" t="s">
        <v>15</v>
      </c>
      <c r="J123" s="188" t="s">
        <v>75</v>
      </c>
      <c r="K123" s="182" t="s">
        <v>17</v>
      </c>
    </row>
    <row r="124" spans="1:12" ht="90" x14ac:dyDescent="0.25">
      <c r="A124" s="179"/>
      <c r="B124" s="181"/>
      <c r="C124" s="181"/>
      <c r="D124" s="181"/>
      <c r="E124" s="5" t="s">
        <v>51</v>
      </c>
      <c r="F124" s="5" t="s">
        <v>76</v>
      </c>
      <c r="G124" s="5" t="s">
        <v>20</v>
      </c>
      <c r="H124" s="183"/>
      <c r="I124" s="183"/>
      <c r="J124" s="182"/>
      <c r="K124" s="183"/>
    </row>
    <row r="125" spans="1:12" x14ac:dyDescent="0.25">
      <c r="A125" s="7" t="s">
        <v>21</v>
      </c>
      <c r="B125" s="8">
        <v>23456.2</v>
      </c>
      <c r="C125" s="8">
        <v>4.2300000000000004</v>
      </c>
      <c r="D125" s="8">
        <v>17.54</v>
      </c>
      <c r="E125" s="10">
        <v>1</v>
      </c>
      <c r="F125" s="11" t="s">
        <v>77</v>
      </c>
      <c r="G125" s="11"/>
      <c r="H125" s="11">
        <v>1.105</v>
      </c>
      <c r="I125" s="9">
        <f>B125*C125*((1-D125/100)+D125/100*0.9*1.105)</f>
        <v>99124.008730327812</v>
      </c>
      <c r="J125" s="9">
        <f>B125*C125*((1-D125/100)+D125/100*1.28*1.105)</f>
        <v>106431.58719130176</v>
      </c>
      <c r="K125" s="30">
        <f>B125*C125*((1-D125/100)+D125/100*1.28*1.105)</f>
        <v>106431.58719130176</v>
      </c>
    </row>
    <row r="126" spans="1:12" x14ac:dyDescent="0.25">
      <c r="A126" s="7" t="s">
        <v>23</v>
      </c>
      <c r="B126" s="8">
        <v>23456.2</v>
      </c>
      <c r="C126" s="8">
        <v>8.49</v>
      </c>
      <c r="D126" s="8">
        <v>7.19</v>
      </c>
      <c r="E126" s="10">
        <v>1</v>
      </c>
      <c r="F126" s="11" t="s">
        <v>77</v>
      </c>
      <c r="G126" s="11"/>
      <c r="H126" s="11">
        <v>1.105</v>
      </c>
      <c r="I126" s="9">
        <f>B126*C126*((1-D126/100)+D126/100*0.9*1.105)</f>
        <v>199064.38684607792</v>
      </c>
      <c r="J126" s="9">
        <f>B126*C126*((1-D126/100)+D126/100*1.28*1.105)</f>
        <v>205076.67948823969</v>
      </c>
      <c r="K126" s="30">
        <f>B126*C126*((1-D126/100)+D126/100*1.28*1.105)</f>
        <v>205076.67948823969</v>
      </c>
    </row>
    <row r="127" spans="1:12" x14ac:dyDescent="0.25">
      <c r="A127" s="7" t="s">
        <v>24</v>
      </c>
      <c r="B127" s="8">
        <v>23456.2</v>
      </c>
      <c r="C127" s="8">
        <v>13.38</v>
      </c>
      <c r="D127" s="8">
        <v>1.89</v>
      </c>
      <c r="E127" s="10">
        <v>1</v>
      </c>
      <c r="F127" s="11" t="s">
        <v>77</v>
      </c>
      <c r="G127" s="11"/>
      <c r="H127" s="11">
        <v>1.105</v>
      </c>
      <c r="I127" s="9">
        <f>B127*C127*((1-D127/100)+D127/100*0.9*1.105)</f>
        <v>313811.33192077378</v>
      </c>
      <c r="J127" s="9">
        <f>B127*C127*((1-D127/100)+D127/100*1.28*1.105)</f>
        <v>316302.03207842493</v>
      </c>
      <c r="K127" s="30">
        <f>B127*C127*((1-D127/100)+D127/100*1.28*1.105)</f>
        <v>316302.03207842493</v>
      </c>
    </row>
    <row r="128" spans="1:12" x14ac:dyDescent="0.25">
      <c r="A128" s="7" t="s">
        <v>26</v>
      </c>
      <c r="B128" s="8">
        <v>23456.2</v>
      </c>
      <c r="C128" s="8">
        <v>17.89</v>
      </c>
      <c r="D128" s="8">
        <v>2.44</v>
      </c>
      <c r="E128" s="10">
        <v>1</v>
      </c>
      <c r="F128" s="11" t="s">
        <v>77</v>
      </c>
      <c r="G128" s="11"/>
      <c r="H128" s="11">
        <v>1.105</v>
      </c>
      <c r="I128" s="9">
        <f>B128*C128*((1-D128/100)+D128/100*0.9*1.105)</f>
        <v>419575.10346370441</v>
      </c>
      <c r="J128" s="9">
        <f>B128*C128*((1-D128/100)+D128/100*1.28*1.105)</f>
        <v>423874.46233470849</v>
      </c>
      <c r="K128" s="30">
        <f>B128*C128*((1-D128/100)+D128/100*1.28*1.105)</f>
        <v>423874.46233470849</v>
      </c>
    </row>
    <row r="129" spans="1:12" x14ac:dyDescent="0.25">
      <c r="A129" s="7" t="s">
        <v>27</v>
      </c>
      <c r="B129" s="8">
        <v>23456.2</v>
      </c>
      <c r="C129" s="8">
        <v>34.58</v>
      </c>
      <c r="D129" s="8">
        <v>0.73</v>
      </c>
      <c r="E129" s="10">
        <v>1</v>
      </c>
      <c r="F129" s="11" t="s">
        <v>77</v>
      </c>
      <c r="G129" s="11"/>
      <c r="H129" s="11">
        <v>1.105</v>
      </c>
      <c r="I129" s="9">
        <f>B129*C129*((1-D129/100)+D129/100*0.9*1.105)</f>
        <v>811082.82971685054</v>
      </c>
      <c r="J129" s="9">
        <f>B129*C129*((1-D129/100)+D129/100*1.28*1.105)</f>
        <v>813569.11740674742</v>
      </c>
      <c r="K129" s="30">
        <f>B129*C129*((1-D129/100)+D129/100*1.28*1.105)</f>
        <v>813569.11740674742</v>
      </c>
    </row>
    <row r="130" spans="1:12" x14ac:dyDescent="0.25">
      <c r="A130" s="7" t="s">
        <v>28</v>
      </c>
      <c r="B130" s="8">
        <v>13285</v>
      </c>
      <c r="C130" s="8">
        <v>7.73</v>
      </c>
      <c r="D130" s="8">
        <v>3.76</v>
      </c>
      <c r="E130" s="10">
        <v>1</v>
      </c>
      <c r="F130" s="10">
        <v>1</v>
      </c>
      <c r="G130" s="11"/>
      <c r="H130" s="11">
        <v>1.105</v>
      </c>
      <c r="I130" s="9">
        <f>B130*C130*((1-D130/100)+D130/100*1*1.105)</f>
        <v>103098.48216140001</v>
      </c>
      <c r="J130" s="9">
        <f>B130*C130*((1-D130/100)+D130/100*1*1.105)</f>
        <v>103098.48216140001</v>
      </c>
      <c r="K130" s="30">
        <f>B130*C130*((1-D130/100)+D130/100*1*1.105)</f>
        <v>103098.48216140001</v>
      </c>
    </row>
    <row r="131" spans="1:12" x14ac:dyDescent="0.25">
      <c r="A131" s="7" t="s">
        <v>29</v>
      </c>
      <c r="B131" s="8">
        <v>13285</v>
      </c>
      <c r="C131" s="8">
        <v>11.25</v>
      </c>
      <c r="D131" s="8">
        <v>6.78</v>
      </c>
      <c r="E131" s="10">
        <v>1</v>
      </c>
      <c r="F131" s="10">
        <v>1</v>
      </c>
      <c r="G131" s="11"/>
      <c r="H131" s="11">
        <v>1.105</v>
      </c>
      <c r="I131" s="9">
        <f>B131*C131*((1-D131/100)+D131/100*1*1.105)</f>
        <v>150520.22904375001</v>
      </c>
      <c r="J131" s="9">
        <f>B131*C131*((1-D131/100)+D131/100*1*1.105)</f>
        <v>150520.22904375001</v>
      </c>
      <c r="K131" s="30">
        <f>B131*C131*((1-D131/100)+D131/100*1*1.105)</f>
        <v>150520.22904375001</v>
      </c>
    </row>
    <row r="132" spans="1:12" x14ac:dyDescent="0.25">
      <c r="A132" s="7" t="s">
        <v>30</v>
      </c>
      <c r="B132" s="8">
        <v>13285</v>
      </c>
      <c r="C132" s="8">
        <v>15.26</v>
      </c>
      <c r="D132" s="8">
        <v>0.43</v>
      </c>
      <c r="E132" s="10">
        <v>1</v>
      </c>
      <c r="F132" s="10">
        <v>1</v>
      </c>
      <c r="G132" s="11"/>
      <c r="H132" s="11">
        <v>1.105</v>
      </c>
      <c r="I132" s="9">
        <f>B132*C132*((1-D132/100)+D132/100*1*1.105)</f>
        <v>202820.63218865002</v>
      </c>
      <c r="J132" s="9">
        <f>B132*C132*((1-D132/100)+D132/100*1*1.105)</f>
        <v>202820.63218865002</v>
      </c>
      <c r="K132" s="30">
        <f>B132*C132*((1-D132/100)+D132/100*1*1.105)</f>
        <v>202820.63218865002</v>
      </c>
    </row>
    <row r="133" spans="1:12" x14ac:dyDescent="0.25">
      <c r="A133" s="7" t="s">
        <v>31</v>
      </c>
      <c r="B133" s="8">
        <v>13285</v>
      </c>
      <c r="C133" s="8">
        <v>23.85</v>
      </c>
      <c r="D133" s="8">
        <v>0.32</v>
      </c>
      <c r="E133" s="10">
        <v>1</v>
      </c>
      <c r="F133" s="10">
        <v>1</v>
      </c>
      <c r="G133" s="11"/>
      <c r="H133" s="11">
        <v>1.105</v>
      </c>
      <c r="I133" s="9">
        <f>B133*C133*((1-D133/100)+D133/100*1*1.105)</f>
        <v>316953.71067600005</v>
      </c>
      <c r="J133" s="9">
        <f>B133*C133*((1-D133/100)+D133/100*1*1.105)</f>
        <v>316953.71067600005</v>
      </c>
      <c r="K133" s="30">
        <f>B133*C133*((1-D133/100)+D133/100*1*1.105)</f>
        <v>316953.71067600005</v>
      </c>
    </row>
    <row r="134" spans="1:12" ht="15.75" thickBot="1" x14ac:dyDescent="0.3">
      <c r="A134" s="13" t="s">
        <v>32</v>
      </c>
      <c r="B134" s="14">
        <v>13285</v>
      </c>
      <c r="C134" s="14">
        <v>35.24</v>
      </c>
      <c r="D134" s="14">
        <v>0.67</v>
      </c>
      <c r="E134" s="16">
        <v>1</v>
      </c>
      <c r="F134" s="16">
        <v>1</v>
      </c>
      <c r="G134" s="17"/>
      <c r="H134" s="17">
        <v>1.105</v>
      </c>
      <c r="I134" s="15">
        <f>B134*C134*((1-D134/100)+D134/100*1*1.105)</f>
        <v>468492.75295190001</v>
      </c>
      <c r="J134" s="15">
        <f>B134*C134*((1-D134/100)+D134/100*1*1.105)</f>
        <v>468492.75295190001</v>
      </c>
      <c r="K134" s="31">
        <f>B134*C134*((1-D134/100)+D134/100*1*1.105)</f>
        <v>468492.75295190001</v>
      </c>
    </row>
    <row r="135" spans="1:12" ht="19.5" thickBot="1" x14ac:dyDescent="0.35">
      <c r="A135" s="189" t="s">
        <v>78</v>
      </c>
      <c r="B135" s="190"/>
      <c r="C135" s="190"/>
      <c r="D135" s="190"/>
      <c r="E135" s="190"/>
      <c r="F135" s="190"/>
      <c r="G135" s="190"/>
      <c r="H135" s="190"/>
      <c r="I135" s="190"/>
      <c r="J135" s="190"/>
      <c r="K135" s="191"/>
      <c r="L135" t="s">
        <v>74</v>
      </c>
    </row>
    <row r="136" spans="1:12" x14ac:dyDescent="0.25">
      <c r="A136" s="178"/>
      <c r="B136" s="180" t="s">
        <v>10</v>
      </c>
      <c r="C136" s="180" t="s">
        <v>11</v>
      </c>
      <c r="D136" s="180" t="s">
        <v>12</v>
      </c>
      <c r="E136" s="179" t="s">
        <v>13</v>
      </c>
      <c r="F136" s="179"/>
      <c r="G136" s="179"/>
      <c r="H136" s="182" t="s">
        <v>14</v>
      </c>
      <c r="I136" s="182" t="s">
        <v>15</v>
      </c>
      <c r="J136" s="184" t="s">
        <v>75</v>
      </c>
      <c r="K136" s="182" t="s">
        <v>17</v>
      </c>
    </row>
    <row r="137" spans="1:12" ht="90" x14ac:dyDescent="0.25">
      <c r="A137" s="179"/>
      <c r="B137" s="181"/>
      <c r="C137" s="181"/>
      <c r="D137" s="181"/>
      <c r="E137" s="5" t="s">
        <v>51</v>
      </c>
      <c r="F137" s="5" t="s">
        <v>76</v>
      </c>
      <c r="G137" s="5" t="s">
        <v>20</v>
      </c>
      <c r="H137" s="183"/>
      <c r="I137" s="183"/>
      <c r="J137" s="182"/>
      <c r="K137" s="183"/>
    </row>
    <row r="138" spans="1:12" x14ac:dyDescent="0.25">
      <c r="A138" s="19" t="s">
        <v>34</v>
      </c>
      <c r="B138" s="32">
        <v>24363.87</v>
      </c>
      <c r="C138" s="20">
        <v>4.88</v>
      </c>
      <c r="D138" s="21">
        <v>5.8400000000000001E-2</v>
      </c>
      <c r="E138" s="20">
        <v>1</v>
      </c>
      <c r="F138" s="36" t="s">
        <v>79</v>
      </c>
      <c r="G138" s="20"/>
      <c r="H138" s="11">
        <v>1.105</v>
      </c>
      <c r="I138" s="8">
        <f t="shared" ref="I138:I143" si="22">B138*C138*((1-D138)+D138*E138*1.105*0.9)+0</f>
        <v>118857.49630578527</v>
      </c>
      <c r="J138" s="8">
        <f t="shared" ref="J138:J143" si="23">B138*C138*((1-D138)+D138*E138*1.105*1.28)+0</f>
        <v>121773.07533137816</v>
      </c>
      <c r="K138" s="22">
        <f t="shared" ref="K138:K143" si="24">B138*C138*((1-D138)+D138*E138*1.105*1.28)+0</f>
        <v>121773.07533137816</v>
      </c>
    </row>
    <row r="139" spans="1:12" x14ac:dyDescent="0.25">
      <c r="A139" s="19" t="s">
        <v>36</v>
      </c>
      <c r="B139" s="32">
        <v>24363.87</v>
      </c>
      <c r="C139" s="20">
        <v>8.07</v>
      </c>
      <c r="D139" s="23">
        <v>3.32E-2</v>
      </c>
      <c r="E139" s="20">
        <v>1</v>
      </c>
      <c r="F139" s="36" t="s">
        <v>79</v>
      </c>
      <c r="G139" s="20"/>
      <c r="H139" s="11">
        <v>1.105</v>
      </c>
      <c r="I139" s="8">
        <f t="shared" si="22"/>
        <v>196580.52873971767</v>
      </c>
      <c r="J139" s="8">
        <f t="shared" si="23"/>
        <v>199321.49548563667</v>
      </c>
      <c r="K139" s="22">
        <f t="shared" si="24"/>
        <v>199321.49548563667</v>
      </c>
    </row>
    <row r="140" spans="1:12" x14ac:dyDescent="0.25">
      <c r="A140" s="24" t="s">
        <v>37</v>
      </c>
      <c r="B140" s="32">
        <v>24363.87</v>
      </c>
      <c r="C140" s="20">
        <v>10.11</v>
      </c>
      <c r="D140" s="23">
        <v>2.1499999999999998E-2</v>
      </c>
      <c r="E140" s="20">
        <v>1</v>
      </c>
      <c r="F140" s="36" t="s">
        <v>79</v>
      </c>
      <c r="G140" s="20"/>
      <c r="H140" s="11">
        <v>1.105</v>
      </c>
      <c r="I140" s="8">
        <f t="shared" si="22"/>
        <v>246289.59851068596</v>
      </c>
      <c r="J140" s="8">
        <f t="shared" si="23"/>
        <v>248513.3270184967</v>
      </c>
      <c r="K140" s="22">
        <f t="shared" si="24"/>
        <v>248513.3270184967</v>
      </c>
    </row>
    <row r="141" spans="1:12" x14ac:dyDescent="0.25">
      <c r="A141" s="24" t="s">
        <v>38</v>
      </c>
      <c r="B141" s="32">
        <v>24363.87</v>
      </c>
      <c r="C141" s="20">
        <v>13.86</v>
      </c>
      <c r="D141" s="23">
        <v>1.55E-2</v>
      </c>
      <c r="E141" s="20">
        <v>1</v>
      </c>
      <c r="F141" s="36" t="s">
        <v>79</v>
      </c>
      <c r="G141" s="20"/>
      <c r="H141" s="11">
        <v>1.105</v>
      </c>
      <c r="I141" s="8">
        <f t="shared" si="22"/>
        <v>337654.45070394344</v>
      </c>
      <c r="J141" s="8">
        <f t="shared" si="23"/>
        <v>339852.24517560616</v>
      </c>
      <c r="K141" s="22">
        <f t="shared" si="24"/>
        <v>339852.24517560616</v>
      </c>
    </row>
    <row r="142" spans="1:12" x14ac:dyDescent="0.25">
      <c r="A142" s="24" t="s">
        <v>39</v>
      </c>
      <c r="B142" s="32">
        <v>24363.87</v>
      </c>
      <c r="C142" s="20">
        <v>17.2</v>
      </c>
      <c r="D142" s="23">
        <v>1.1900000000000001E-2</v>
      </c>
      <c r="E142" s="20">
        <v>1</v>
      </c>
      <c r="F142" s="36" t="s">
        <v>79</v>
      </c>
      <c r="G142" s="20"/>
      <c r="H142" s="11">
        <v>1.105</v>
      </c>
      <c r="I142" s="8">
        <f t="shared" si="22"/>
        <v>419031.13661698613</v>
      </c>
      <c r="J142" s="8">
        <f t="shared" si="23"/>
        <v>421125.09264016704</v>
      </c>
      <c r="K142" s="22">
        <f t="shared" si="24"/>
        <v>421125.09264016704</v>
      </c>
    </row>
    <row r="143" spans="1:12" x14ac:dyDescent="0.25">
      <c r="A143" s="24" t="s">
        <v>40</v>
      </c>
      <c r="B143" s="32">
        <v>24363.87</v>
      </c>
      <c r="C143" s="20">
        <v>29.17</v>
      </c>
      <c r="D143" s="23">
        <v>6.8999999999999999E-3</v>
      </c>
      <c r="E143" s="20">
        <v>1</v>
      </c>
      <c r="F143" s="36" t="s">
        <v>79</v>
      </c>
      <c r="G143" s="20"/>
      <c r="H143" s="11">
        <v>1.105</v>
      </c>
      <c r="I143" s="8">
        <f t="shared" si="22"/>
        <v>710667.11705936422</v>
      </c>
      <c r="J143" s="8">
        <f t="shared" si="23"/>
        <v>712726.21814717771</v>
      </c>
      <c r="K143" s="22">
        <f t="shared" si="24"/>
        <v>712726.21814717771</v>
      </c>
    </row>
    <row r="144" spans="1:12" x14ac:dyDescent="0.25">
      <c r="A144" s="19" t="s">
        <v>41</v>
      </c>
      <c r="B144" s="32">
        <v>13915.62</v>
      </c>
      <c r="C144" s="20">
        <v>8.57</v>
      </c>
      <c r="D144" s="25">
        <v>0.15079999999999999</v>
      </c>
      <c r="E144" s="20">
        <v>1</v>
      </c>
      <c r="F144" s="20">
        <v>1</v>
      </c>
      <c r="G144" s="20"/>
      <c r="H144" s="11">
        <v>1.105</v>
      </c>
      <c r="I144" s="8">
        <f t="shared" ref="I144:I149" si="25">B144*C144*((1-D144)+D144*E144*1.105*1)+0</f>
        <v>121145.1765750756</v>
      </c>
      <c r="J144" s="8">
        <f t="shared" ref="J144:J149" si="26">B144*C144*((1-D144)+D144*E144*1.105*1)+0</f>
        <v>121145.1765750756</v>
      </c>
      <c r="K144" s="22">
        <f t="shared" ref="K144:K149" si="27">B144*C144*((1-D144)+D144*E144*1.105*1)+0</f>
        <v>121145.1765750756</v>
      </c>
    </row>
    <row r="145" spans="1:12" x14ac:dyDescent="0.25">
      <c r="A145" s="7" t="s">
        <v>42</v>
      </c>
      <c r="B145" s="32">
        <v>13915.62</v>
      </c>
      <c r="C145" s="20">
        <v>9.65</v>
      </c>
      <c r="D145" s="25">
        <v>0.14910000000000001</v>
      </c>
      <c r="E145" s="20">
        <v>1</v>
      </c>
      <c r="F145" s="20">
        <v>1</v>
      </c>
      <c r="G145" s="20"/>
      <c r="H145" s="11">
        <v>1.105</v>
      </c>
      <c r="I145" s="8">
        <f t="shared" si="25"/>
        <v>136388.04329298151</v>
      </c>
      <c r="J145" s="8">
        <f t="shared" si="26"/>
        <v>136388.04329298151</v>
      </c>
      <c r="K145" s="22">
        <f t="shared" si="27"/>
        <v>136388.04329298151</v>
      </c>
    </row>
    <row r="146" spans="1:12" x14ac:dyDescent="0.25">
      <c r="A146" s="7" t="s">
        <v>43</v>
      </c>
      <c r="B146" s="32">
        <v>13915.62</v>
      </c>
      <c r="C146" s="20">
        <v>13.5</v>
      </c>
      <c r="D146" s="25">
        <v>9.9900000000000003E-2</v>
      </c>
      <c r="E146" s="20">
        <v>1</v>
      </c>
      <c r="F146" s="20">
        <v>1</v>
      </c>
      <c r="G146" s="20"/>
      <c r="H146" s="11">
        <v>1.105</v>
      </c>
      <c r="I146" s="8">
        <f t="shared" si="25"/>
        <v>189831.43659586503</v>
      </c>
      <c r="J146" s="8">
        <f t="shared" si="26"/>
        <v>189831.43659586503</v>
      </c>
      <c r="K146" s="22">
        <f t="shared" si="27"/>
        <v>189831.43659586503</v>
      </c>
    </row>
    <row r="147" spans="1:12" x14ac:dyDescent="0.25">
      <c r="A147" s="7" t="s">
        <v>44</v>
      </c>
      <c r="B147" s="32">
        <v>13915.62</v>
      </c>
      <c r="C147" s="20">
        <v>16.03</v>
      </c>
      <c r="D147" s="25">
        <v>8.4900000000000003E-2</v>
      </c>
      <c r="E147" s="20">
        <v>1</v>
      </c>
      <c r="F147" s="20">
        <v>1</v>
      </c>
      <c r="G147" s="7"/>
      <c r="H147" s="11">
        <v>1.105</v>
      </c>
      <c r="I147" s="8">
        <f t="shared" si="25"/>
        <v>225055.92283567472</v>
      </c>
      <c r="J147" s="8">
        <f t="shared" si="26"/>
        <v>225055.92283567472</v>
      </c>
      <c r="K147" s="22">
        <f t="shared" si="27"/>
        <v>225055.92283567472</v>
      </c>
    </row>
    <row r="148" spans="1:12" x14ac:dyDescent="0.25">
      <c r="A148" s="24" t="s">
        <v>45</v>
      </c>
      <c r="B148" s="32">
        <v>13915.62</v>
      </c>
      <c r="C148" s="20">
        <v>27.22</v>
      </c>
      <c r="D148" s="25">
        <v>2.8199999999999999E-2</v>
      </c>
      <c r="E148" s="20">
        <v>1</v>
      </c>
      <c r="F148" s="20">
        <v>1</v>
      </c>
      <c r="G148" s="7"/>
      <c r="H148" s="11">
        <v>1.105</v>
      </c>
      <c r="I148" s="8">
        <f t="shared" si="25"/>
        <v>379904.75338532042</v>
      </c>
      <c r="J148" s="8">
        <f t="shared" si="26"/>
        <v>379904.75338532042</v>
      </c>
      <c r="K148" s="22">
        <f t="shared" si="27"/>
        <v>379904.75338532042</v>
      </c>
    </row>
    <row r="149" spans="1:12" ht="15.75" thickBot="1" x14ac:dyDescent="0.3">
      <c r="A149" s="24" t="s">
        <v>46</v>
      </c>
      <c r="B149" s="32">
        <v>13915.62</v>
      </c>
      <c r="C149" s="20">
        <v>56.65</v>
      </c>
      <c r="D149" s="25">
        <v>2.3E-3</v>
      </c>
      <c r="E149" s="20">
        <v>1</v>
      </c>
      <c r="F149" s="20">
        <v>1</v>
      </c>
      <c r="G149" s="7"/>
      <c r="H149" s="11">
        <v>1.105</v>
      </c>
      <c r="I149" s="8">
        <f t="shared" si="25"/>
        <v>788510.25224932958</v>
      </c>
      <c r="J149" s="8">
        <f t="shared" si="26"/>
        <v>788510.25224932958</v>
      </c>
      <c r="K149" s="22">
        <f t="shared" si="27"/>
        <v>788510.25224932958</v>
      </c>
    </row>
    <row r="150" spans="1:12" ht="19.5" thickBot="1" x14ac:dyDescent="0.35">
      <c r="A150" s="185" t="s">
        <v>80</v>
      </c>
      <c r="B150" s="186"/>
      <c r="C150" s="186"/>
      <c r="D150" s="186"/>
      <c r="E150" s="186"/>
      <c r="F150" s="186"/>
      <c r="G150" s="186"/>
      <c r="H150" s="186"/>
      <c r="I150" s="186"/>
      <c r="J150" s="186"/>
      <c r="K150" s="187"/>
      <c r="L150" t="s">
        <v>81</v>
      </c>
    </row>
    <row r="151" spans="1:12" x14ac:dyDescent="0.25">
      <c r="A151" s="178"/>
      <c r="B151" s="180" t="s">
        <v>10</v>
      </c>
      <c r="C151" s="180" t="s">
        <v>11</v>
      </c>
      <c r="D151" s="180" t="s">
        <v>12</v>
      </c>
      <c r="E151" s="179" t="s">
        <v>13</v>
      </c>
      <c r="F151" s="179"/>
      <c r="G151" s="179"/>
      <c r="H151" s="182" t="s">
        <v>14</v>
      </c>
      <c r="I151" s="182" t="s">
        <v>15</v>
      </c>
      <c r="J151" s="188" t="s">
        <v>82</v>
      </c>
      <c r="K151" s="182" t="s">
        <v>17</v>
      </c>
    </row>
    <row r="152" spans="1:12" ht="90" x14ac:dyDescent="0.25">
      <c r="A152" s="179"/>
      <c r="B152" s="181"/>
      <c r="C152" s="181"/>
      <c r="D152" s="181"/>
      <c r="E152" s="5" t="s">
        <v>51</v>
      </c>
      <c r="F152" s="5" t="s">
        <v>76</v>
      </c>
      <c r="G152" s="5" t="s">
        <v>20</v>
      </c>
      <c r="H152" s="183"/>
      <c r="I152" s="183"/>
      <c r="J152" s="182"/>
      <c r="K152" s="183"/>
    </row>
    <row r="153" spans="1:12" x14ac:dyDescent="0.25">
      <c r="A153" s="7" t="s">
        <v>21</v>
      </c>
      <c r="B153" s="8">
        <v>23460</v>
      </c>
      <c r="C153" s="8">
        <v>4.2300000000000004</v>
      </c>
      <c r="D153" s="8">
        <v>17.54</v>
      </c>
      <c r="E153" s="10">
        <v>1</v>
      </c>
      <c r="F153" s="11" t="s">
        <v>83</v>
      </c>
      <c r="G153" s="11"/>
      <c r="H153" s="11" t="s">
        <v>84</v>
      </c>
      <c r="I153" s="9">
        <f>B153*C153*((1-D153/100)+D153/100*0.8*1.4)</f>
        <v>101324.5151184</v>
      </c>
      <c r="J153" s="9">
        <f>B153*C153*((1-D153/100)+D153/100*1.4*1.68)</f>
        <v>122768.65700064</v>
      </c>
      <c r="K153" s="30">
        <f>B153*C153*((1-D153/100)+D153/100*1.4*2.57)</f>
        <v>144456.48231336</v>
      </c>
    </row>
    <row r="154" spans="1:12" x14ac:dyDescent="0.25">
      <c r="A154" s="7" t="s">
        <v>23</v>
      </c>
      <c r="B154" s="8">
        <v>23460</v>
      </c>
      <c r="C154" s="8">
        <v>8.49</v>
      </c>
      <c r="D154" s="8">
        <v>7.19</v>
      </c>
      <c r="E154" s="10">
        <v>1</v>
      </c>
      <c r="F154" s="11" t="s">
        <v>83</v>
      </c>
      <c r="G154" s="11"/>
      <c r="H154" s="11" t="s">
        <v>84</v>
      </c>
      <c r="I154" s="9">
        <f>B154*C154*((1-D154/100)+D154/100*0.8*1.4)</f>
        <v>200893.88535120001</v>
      </c>
      <c r="J154" s="9">
        <f>B154*C154*((1-D154/100)+D154/100*1.4*1.68)</f>
        <v>218537.00162351999</v>
      </c>
      <c r="K154" s="30">
        <f>B154*C154*((1-D154/100)+D154/100*1.4*2.57)</f>
        <v>236380.60785348</v>
      </c>
    </row>
    <row r="155" spans="1:12" x14ac:dyDescent="0.25">
      <c r="A155" s="7" t="s">
        <v>24</v>
      </c>
      <c r="B155" s="8">
        <v>23460</v>
      </c>
      <c r="C155" s="8">
        <v>13.38</v>
      </c>
      <c r="D155" s="8">
        <v>1.89</v>
      </c>
      <c r="E155" s="10">
        <v>1</v>
      </c>
      <c r="F155" s="11" t="s">
        <v>83</v>
      </c>
      <c r="G155" s="11"/>
      <c r="H155" s="11" t="s">
        <v>84</v>
      </c>
      <c r="I155" s="9">
        <f>B155*C155*((1-D155/100)+D155/100*0.8*1.4)</f>
        <v>314606.7134064</v>
      </c>
      <c r="J155" s="9">
        <f>B155*C155*((1-D155/100)+D155/100*1.4*1.68)</f>
        <v>321915.69104544003</v>
      </c>
      <c r="K155" s="30">
        <f>B155*C155*((1-D155/100)+D155/100*1.4*2.57)</f>
        <v>329307.72524856002</v>
      </c>
    </row>
    <row r="156" spans="1:12" x14ac:dyDescent="0.25">
      <c r="A156" s="7" t="s">
        <v>26</v>
      </c>
      <c r="B156" s="8">
        <v>23460</v>
      </c>
      <c r="C156" s="8">
        <v>17.89</v>
      </c>
      <c r="D156" s="8">
        <v>2.44</v>
      </c>
      <c r="E156" s="10">
        <v>1</v>
      </c>
      <c r="F156" s="11" t="s">
        <v>83</v>
      </c>
      <c r="G156" s="11"/>
      <c r="H156" s="11" t="s">
        <v>84</v>
      </c>
      <c r="I156" s="9">
        <f>B156*C156*((1-D156/100)+D156/100*0.8*1.4)</f>
        <v>420928.27984320006</v>
      </c>
      <c r="J156" s="9">
        <f>B156*C156*((1-D156/100)+D156/100*1.4*1.68)</f>
        <v>433544.77956672007</v>
      </c>
      <c r="K156" s="30">
        <f>B156*C156*((1-D156/100)+D156/100*1.4*2.57)</f>
        <v>446304.64860528009</v>
      </c>
    </row>
    <row r="157" spans="1:12" x14ac:dyDescent="0.25">
      <c r="A157" s="7" t="s">
        <v>27</v>
      </c>
      <c r="B157" s="8">
        <v>23460</v>
      </c>
      <c r="C157" s="8">
        <v>34.58</v>
      </c>
      <c r="D157" s="8">
        <v>0.73</v>
      </c>
      <c r="E157" s="10">
        <v>1</v>
      </c>
      <c r="F157" s="11" t="s">
        <v>83</v>
      </c>
      <c r="G157" s="11"/>
      <c r="H157" s="11" t="s">
        <v>84</v>
      </c>
      <c r="I157" s="9">
        <f>B157*C157*((1-D157/100)+D157/100*0.8*1.4)</f>
        <v>811957.45219680003</v>
      </c>
      <c r="J157" s="9">
        <f>B157*C157*((1-D157/100)+D157/100*1.4*1.68)</f>
        <v>819253.48141727992</v>
      </c>
      <c r="K157" s="30">
        <f>B157*C157*((1-D157/100)+D157/100*1.4*2.57)</f>
        <v>826632.42006072006</v>
      </c>
    </row>
    <row r="158" spans="1:12" x14ac:dyDescent="0.25">
      <c r="A158" s="7" t="s">
        <v>28</v>
      </c>
      <c r="B158" s="8">
        <v>13560</v>
      </c>
      <c r="C158" s="8">
        <v>7.73</v>
      </c>
      <c r="D158" s="8">
        <v>3.76</v>
      </c>
      <c r="E158" s="10">
        <v>1</v>
      </c>
      <c r="F158" s="11">
        <v>1</v>
      </c>
      <c r="G158" s="11"/>
      <c r="H158" s="11" t="s">
        <v>84</v>
      </c>
      <c r="I158" s="9">
        <f>B158*C158*((1-D158/100)+D158/100*1*1.4)</f>
        <v>106395.274752</v>
      </c>
      <c r="J158" s="9">
        <f>B158*C158*((1-D158/100)+D158/100*1*1.68)</f>
        <v>107498.8070784</v>
      </c>
      <c r="K158" s="30">
        <f>B158*C158*((1-D158/100)+D158/100*1*2.57)</f>
        <v>111006.46340160001</v>
      </c>
    </row>
    <row r="159" spans="1:12" x14ac:dyDescent="0.25">
      <c r="A159" s="7" t="s">
        <v>29</v>
      </c>
      <c r="B159" s="8">
        <v>13560</v>
      </c>
      <c r="C159" s="8">
        <v>11.25</v>
      </c>
      <c r="D159" s="8">
        <v>6.78</v>
      </c>
      <c r="E159" s="10">
        <v>1</v>
      </c>
      <c r="F159" s="11">
        <v>1</v>
      </c>
      <c r="G159" s="11"/>
      <c r="H159" s="11" t="s">
        <v>84</v>
      </c>
      <c r="I159" s="9">
        <f>B159*C159*((1-D159/100)+D159/100*1*1.4)</f>
        <v>156687.15600000002</v>
      </c>
      <c r="J159" s="9">
        <f>B159*C159*((1-D159/100)+D159/100*1*1.68)</f>
        <v>159583.16519999999</v>
      </c>
      <c r="K159" s="30">
        <f>B159*C159*((1-D159/100)+D159/100*1*2.57)</f>
        <v>168788.33730000001</v>
      </c>
    </row>
    <row r="160" spans="1:12" x14ac:dyDescent="0.25">
      <c r="A160" s="7" t="s">
        <v>30</v>
      </c>
      <c r="B160" s="8">
        <v>13560</v>
      </c>
      <c r="C160" s="8">
        <v>15.26</v>
      </c>
      <c r="D160" s="8">
        <v>0.43</v>
      </c>
      <c r="E160" s="10">
        <v>1</v>
      </c>
      <c r="F160" s="11">
        <v>1</v>
      </c>
      <c r="G160" s="11"/>
      <c r="H160" s="11" t="s">
        <v>84</v>
      </c>
      <c r="I160" s="9">
        <f>B160*C160*((1-D160/100)+D160/100*1*1.4)</f>
        <v>207281.512032</v>
      </c>
      <c r="J160" s="9">
        <f>B160*C160*((1-D160/100)+D160/100*1*1.68)</f>
        <v>207530.65045439999</v>
      </c>
      <c r="K160" s="30">
        <f>B160*C160*((1-D160/100)+D160/100*1*2.57)</f>
        <v>208322.5547256</v>
      </c>
    </row>
    <row r="161" spans="1:12" x14ac:dyDescent="0.25">
      <c r="A161" s="7" t="s">
        <v>31</v>
      </c>
      <c r="B161" s="8">
        <v>13560</v>
      </c>
      <c r="C161" s="8">
        <v>23.85</v>
      </c>
      <c r="D161" s="8">
        <v>0.32</v>
      </c>
      <c r="E161" s="10">
        <v>1</v>
      </c>
      <c r="F161" s="11">
        <v>1</v>
      </c>
      <c r="G161" s="11"/>
      <c r="H161" s="11" t="s">
        <v>84</v>
      </c>
      <c r="I161" s="9">
        <f>B161*C161*((1-D161/100)+D161/100*1*1.4)</f>
        <v>323819.95967999997</v>
      </c>
      <c r="J161" s="9">
        <f>B161*C161*((1-D161/100)+D161/100*1*1.68)</f>
        <v>324109.73145600001</v>
      </c>
      <c r="K161" s="30">
        <f>B161*C161*((1-D161/100)+D161/100*1*2.57)</f>
        <v>325030.79174399999</v>
      </c>
    </row>
    <row r="162" spans="1:12" ht="15.75" thickBot="1" x14ac:dyDescent="0.3">
      <c r="A162" s="13" t="s">
        <v>32</v>
      </c>
      <c r="B162" s="14">
        <v>13560</v>
      </c>
      <c r="C162" s="14">
        <v>35.24</v>
      </c>
      <c r="D162" s="14">
        <v>0.67</v>
      </c>
      <c r="E162" s="16">
        <v>1</v>
      </c>
      <c r="F162" s="17">
        <v>1</v>
      </c>
      <c r="G162" s="17"/>
      <c r="H162" s="17" t="s">
        <v>84</v>
      </c>
      <c r="I162" s="15">
        <f>B162*C162*((1-D162/100)+D162/100*1*1.4)</f>
        <v>479135.04979200003</v>
      </c>
      <c r="J162" s="15">
        <f>B162*C162*((1-D162/100)+D162/100*1*1.68)</f>
        <v>480031.50464640005</v>
      </c>
      <c r="K162" s="31">
        <f>B162*C162*((1-D162/100)+D162/100*1*2.57)</f>
        <v>482880.9504336</v>
      </c>
    </row>
    <row r="163" spans="1:12" ht="19.5" thickBot="1" x14ac:dyDescent="0.35">
      <c r="A163" s="189" t="s">
        <v>85</v>
      </c>
      <c r="B163" s="190"/>
      <c r="C163" s="190"/>
      <c r="D163" s="190"/>
      <c r="E163" s="190"/>
      <c r="F163" s="190"/>
      <c r="G163" s="190"/>
      <c r="H163" s="190"/>
      <c r="I163" s="190"/>
      <c r="J163" s="190"/>
      <c r="K163" s="191"/>
      <c r="L163" t="s">
        <v>81</v>
      </c>
    </row>
    <row r="164" spans="1:12" x14ac:dyDescent="0.25">
      <c r="A164" s="178"/>
      <c r="B164" s="180" t="s">
        <v>10</v>
      </c>
      <c r="C164" s="180" t="s">
        <v>11</v>
      </c>
      <c r="D164" s="180" t="s">
        <v>12</v>
      </c>
      <c r="E164" s="179" t="s">
        <v>13</v>
      </c>
      <c r="F164" s="179"/>
      <c r="G164" s="179"/>
      <c r="H164" s="182" t="s">
        <v>14</v>
      </c>
      <c r="I164" s="182" t="s">
        <v>15</v>
      </c>
      <c r="J164" s="184" t="s">
        <v>82</v>
      </c>
      <c r="K164" s="182" t="s">
        <v>17</v>
      </c>
    </row>
    <row r="165" spans="1:12" ht="90" x14ac:dyDescent="0.25">
      <c r="A165" s="179"/>
      <c r="B165" s="181"/>
      <c r="C165" s="181"/>
      <c r="D165" s="181"/>
      <c r="E165" s="5" t="s">
        <v>51</v>
      </c>
      <c r="F165" s="5" t="s">
        <v>76</v>
      </c>
      <c r="G165" s="5" t="s">
        <v>20</v>
      </c>
      <c r="H165" s="183"/>
      <c r="I165" s="183"/>
      <c r="J165" s="182"/>
      <c r="K165" s="183"/>
    </row>
    <row r="166" spans="1:12" x14ac:dyDescent="0.25">
      <c r="A166" s="19" t="s">
        <v>34</v>
      </c>
      <c r="B166" s="32">
        <v>24257</v>
      </c>
      <c r="C166" s="20">
        <v>4.88</v>
      </c>
      <c r="D166" s="21">
        <v>5.8400000000000001E-2</v>
      </c>
      <c r="E166" s="20">
        <v>1</v>
      </c>
      <c r="F166" s="36" t="s">
        <v>83</v>
      </c>
      <c r="G166" s="20"/>
      <c r="H166" s="36" t="s">
        <v>84</v>
      </c>
      <c r="I166" s="8">
        <f t="shared" ref="I166:I171" si="28">B166*C166*((1-D166)+D166*E166*1.4*0.8)+0</f>
        <v>119203.72611327999</v>
      </c>
      <c r="J166" s="8">
        <f t="shared" ref="J166:J171" si="29">B166*C166*((1-D166)+D166*E166*1.4*1.68)+0</f>
        <v>127720.60487628801</v>
      </c>
      <c r="K166" s="22">
        <f t="shared" ref="K166:K171" si="30">B166*C166*((1-D166)+D166*E166*1.4*2.57)+0</f>
        <v>136334.266352512</v>
      </c>
    </row>
    <row r="167" spans="1:12" x14ac:dyDescent="0.25">
      <c r="A167" s="19" t="s">
        <v>36</v>
      </c>
      <c r="B167" s="32">
        <v>24257</v>
      </c>
      <c r="C167" s="20">
        <v>8.07</v>
      </c>
      <c r="D167" s="23">
        <v>3.32E-2</v>
      </c>
      <c r="E167" s="20">
        <v>1</v>
      </c>
      <c r="F167" s="36" t="s">
        <v>83</v>
      </c>
      <c r="G167" s="20"/>
      <c r="H167" s="36" t="s">
        <v>84</v>
      </c>
      <c r="I167" s="8">
        <f t="shared" si="28"/>
        <v>196533.87389616002</v>
      </c>
      <c r="J167" s="8">
        <f t="shared" si="29"/>
        <v>204540.68189673603</v>
      </c>
      <c r="K167" s="22">
        <f t="shared" si="30"/>
        <v>212638.47635186402</v>
      </c>
    </row>
    <row r="168" spans="1:12" x14ac:dyDescent="0.25">
      <c r="A168" s="24" t="s">
        <v>37</v>
      </c>
      <c r="B168" s="32">
        <v>24257</v>
      </c>
      <c r="C168" s="20">
        <v>10.11</v>
      </c>
      <c r="D168" s="23">
        <v>2.1499999999999998E-2</v>
      </c>
      <c r="E168" s="20">
        <v>1</v>
      </c>
      <c r="F168" s="36" t="s">
        <v>83</v>
      </c>
      <c r="G168" s="20"/>
      <c r="H168" s="36" t="s">
        <v>84</v>
      </c>
      <c r="I168" s="8">
        <f t="shared" si="28"/>
        <v>245870.98473659999</v>
      </c>
      <c r="J168" s="8">
        <f t="shared" si="29"/>
        <v>252366.85603236002</v>
      </c>
      <c r="K168" s="22">
        <f t="shared" si="30"/>
        <v>258936.54404738999</v>
      </c>
    </row>
    <row r="169" spans="1:12" x14ac:dyDescent="0.25">
      <c r="A169" s="24" t="s">
        <v>38</v>
      </c>
      <c r="B169" s="32">
        <v>24257</v>
      </c>
      <c r="C169" s="20">
        <v>13.86</v>
      </c>
      <c r="D169" s="23">
        <v>1.55E-2</v>
      </c>
      <c r="E169" s="20">
        <v>1</v>
      </c>
      <c r="F169" s="36" t="s">
        <v>83</v>
      </c>
      <c r="G169" s="20"/>
      <c r="H169" s="36" t="s">
        <v>84</v>
      </c>
      <c r="I169" s="8">
        <f t="shared" si="28"/>
        <v>336827.35575719993</v>
      </c>
      <c r="J169" s="8">
        <f t="shared" si="29"/>
        <v>343247.46953111998</v>
      </c>
      <c r="K169" s="22">
        <f t="shared" si="30"/>
        <v>349740.53914338001</v>
      </c>
    </row>
    <row r="170" spans="1:12" x14ac:dyDescent="0.25">
      <c r="A170" s="24" t="s">
        <v>39</v>
      </c>
      <c r="B170" s="32">
        <v>24257</v>
      </c>
      <c r="C170" s="20">
        <v>17.2</v>
      </c>
      <c r="D170" s="23">
        <v>1.1900000000000001E-2</v>
      </c>
      <c r="E170" s="20">
        <v>1</v>
      </c>
      <c r="F170" s="36" t="s">
        <v>83</v>
      </c>
      <c r="G170" s="20"/>
      <c r="H170" s="36" t="s">
        <v>84</v>
      </c>
      <c r="I170" s="8">
        <f t="shared" si="28"/>
        <v>417816.19073119998</v>
      </c>
      <c r="J170" s="8">
        <f t="shared" si="29"/>
        <v>423932.97557151993</v>
      </c>
      <c r="K170" s="22">
        <f t="shared" si="30"/>
        <v>430119.26933047996</v>
      </c>
    </row>
    <row r="171" spans="1:12" x14ac:dyDescent="0.25">
      <c r="A171" s="24" t="s">
        <v>40</v>
      </c>
      <c r="B171" s="32">
        <v>24257</v>
      </c>
      <c r="C171" s="20">
        <v>29.17</v>
      </c>
      <c r="D171" s="23">
        <v>6.8999999999999999E-3</v>
      </c>
      <c r="E171" s="20">
        <v>1</v>
      </c>
      <c r="F171" s="36" t="s">
        <v>83</v>
      </c>
      <c r="G171" s="20"/>
      <c r="H171" s="36" t="s">
        <v>84</v>
      </c>
      <c r="I171" s="8">
        <f t="shared" si="28"/>
        <v>708162.56349932007</v>
      </c>
      <c r="J171" s="8">
        <f t="shared" si="29"/>
        <v>714177.53142567212</v>
      </c>
      <c r="K171" s="22">
        <f t="shared" si="30"/>
        <v>720260.85126027802</v>
      </c>
    </row>
    <row r="172" spans="1:12" x14ac:dyDescent="0.25">
      <c r="A172" s="19" t="s">
        <v>41</v>
      </c>
      <c r="B172" s="32">
        <v>13916</v>
      </c>
      <c r="C172" s="20">
        <v>8.57</v>
      </c>
      <c r="D172" s="25">
        <v>0.15079999999999999</v>
      </c>
      <c r="E172" s="20">
        <v>1</v>
      </c>
      <c r="F172" s="20">
        <v>1</v>
      </c>
      <c r="G172" s="20"/>
      <c r="H172" s="36" t="s">
        <v>84</v>
      </c>
      <c r="I172" s="8">
        <f t="shared" ref="I172:I177" si="31">B172*C172*((1-D172)+D172*E172*1.4*1)+0</f>
        <v>126453.89043840001</v>
      </c>
      <c r="J172" s="8">
        <f t="shared" ref="J172:J177" si="32">B172*C172*((1-D172)+D172*E172*1*1.68)+0</f>
        <v>131489.52974528002</v>
      </c>
      <c r="K172" s="22">
        <f t="shared" ref="K172:K177" si="33">B172*C172*((1-D172)+D172*E172*1*2.57)+0</f>
        <v>147495.66897072</v>
      </c>
    </row>
    <row r="173" spans="1:12" x14ac:dyDescent="0.25">
      <c r="A173" s="7" t="s">
        <v>42</v>
      </c>
      <c r="B173" s="32">
        <v>13916</v>
      </c>
      <c r="C173" s="20">
        <v>9.65</v>
      </c>
      <c r="D173" s="25">
        <v>0.14910000000000001</v>
      </c>
      <c r="E173" s="20">
        <v>1</v>
      </c>
      <c r="F173" s="20">
        <v>1</v>
      </c>
      <c r="G173" s="20"/>
      <c r="H173" s="36" t="s">
        <v>84</v>
      </c>
      <c r="I173" s="8">
        <f t="shared" si="31"/>
        <v>142298.41981599998</v>
      </c>
      <c r="J173" s="8">
        <f t="shared" si="32"/>
        <v>147904.7336872</v>
      </c>
      <c r="K173" s="22">
        <f t="shared" si="33"/>
        <v>165724.80277779998</v>
      </c>
    </row>
    <row r="174" spans="1:12" x14ac:dyDescent="0.25">
      <c r="A174" s="7" t="s">
        <v>43</v>
      </c>
      <c r="B174" s="32">
        <v>13916</v>
      </c>
      <c r="C174" s="20">
        <v>13.5</v>
      </c>
      <c r="D174" s="25">
        <v>9.9900000000000003E-2</v>
      </c>
      <c r="E174" s="20">
        <v>1</v>
      </c>
      <c r="F174" s="20">
        <v>1</v>
      </c>
      <c r="G174" s="20"/>
      <c r="H174" s="36" t="s">
        <v>84</v>
      </c>
      <c r="I174" s="8">
        <f t="shared" si="31"/>
        <v>195373.12536000001</v>
      </c>
      <c r="J174" s="8">
        <f t="shared" si="32"/>
        <v>200628.11311200002</v>
      </c>
      <c r="K174" s="22">
        <f t="shared" si="33"/>
        <v>217331.467038</v>
      </c>
    </row>
    <row r="175" spans="1:12" x14ac:dyDescent="0.25">
      <c r="A175" s="7" t="s">
        <v>44</v>
      </c>
      <c r="B175" s="32">
        <v>13916</v>
      </c>
      <c r="C175" s="20">
        <v>16.03</v>
      </c>
      <c r="D175" s="25">
        <v>8.4900000000000003E-2</v>
      </c>
      <c r="E175" s="20">
        <v>1</v>
      </c>
      <c r="F175" s="20">
        <v>1</v>
      </c>
      <c r="G175" s="7"/>
      <c r="H175" s="36" t="s">
        <v>84</v>
      </c>
      <c r="I175" s="8">
        <f t="shared" si="31"/>
        <v>230649.05538080001</v>
      </c>
      <c r="J175" s="8">
        <f t="shared" si="32"/>
        <v>235951.95814736004</v>
      </c>
      <c r="K175" s="22">
        <f t="shared" si="33"/>
        <v>252807.61336964002</v>
      </c>
      <c r="L175" t="s">
        <v>25</v>
      </c>
    </row>
    <row r="176" spans="1:12" x14ac:dyDescent="0.25">
      <c r="A176" s="24" t="s">
        <v>45</v>
      </c>
      <c r="B176" s="32">
        <v>13916</v>
      </c>
      <c r="C176" s="20">
        <v>27.22</v>
      </c>
      <c r="D176" s="25">
        <v>2.8199999999999999E-2</v>
      </c>
      <c r="E176" s="20">
        <v>1</v>
      </c>
      <c r="F176" s="20">
        <v>1</v>
      </c>
      <c r="G176" s="7"/>
      <c r="H176" s="36" t="s">
        <v>84</v>
      </c>
      <c r="I176" s="8">
        <f t="shared" si="31"/>
        <v>383066.31090559997</v>
      </c>
      <c r="J176" s="8">
        <f t="shared" si="32"/>
        <v>386057.26453951997</v>
      </c>
      <c r="K176" s="22">
        <f t="shared" si="33"/>
        <v>395564.22430447995</v>
      </c>
    </row>
    <row r="177" spans="1:12" ht="15.75" thickBot="1" x14ac:dyDescent="0.3">
      <c r="A177" s="24" t="s">
        <v>46</v>
      </c>
      <c r="B177" s="32">
        <v>13916</v>
      </c>
      <c r="C177" s="20">
        <v>56.65</v>
      </c>
      <c r="D177" s="25">
        <v>2.3E-3</v>
      </c>
      <c r="E177" s="20">
        <v>1</v>
      </c>
      <c r="F177" s="20">
        <v>1</v>
      </c>
      <c r="G177" s="7"/>
      <c r="H177" s="36" t="s">
        <v>84</v>
      </c>
      <c r="I177" s="8">
        <f t="shared" si="31"/>
        <v>789066.67408800009</v>
      </c>
      <c r="J177" s="8">
        <f t="shared" si="32"/>
        <v>789574.36594960012</v>
      </c>
      <c r="K177" s="22">
        <f t="shared" si="33"/>
        <v>791188.1007954001</v>
      </c>
    </row>
    <row r="178" spans="1:12" ht="19.5" thickBot="1" x14ac:dyDescent="0.35">
      <c r="A178" s="185" t="s">
        <v>86</v>
      </c>
      <c r="B178" s="186"/>
      <c r="C178" s="186"/>
      <c r="D178" s="186"/>
      <c r="E178" s="186"/>
      <c r="F178" s="186"/>
      <c r="G178" s="186"/>
      <c r="H178" s="186"/>
      <c r="I178" s="186"/>
      <c r="J178" s="186"/>
      <c r="K178" s="187"/>
      <c r="L178" t="s">
        <v>87</v>
      </c>
    </row>
    <row r="179" spans="1:12" x14ac:dyDescent="0.25">
      <c r="A179" s="178"/>
      <c r="B179" s="180" t="s">
        <v>10</v>
      </c>
      <c r="C179" s="180" t="s">
        <v>11</v>
      </c>
      <c r="D179" s="180" t="s">
        <v>12</v>
      </c>
      <c r="E179" s="179" t="s">
        <v>13</v>
      </c>
      <c r="F179" s="179"/>
      <c r="G179" s="179"/>
      <c r="H179" s="182" t="s">
        <v>14</v>
      </c>
      <c r="I179" s="182" t="s">
        <v>15</v>
      </c>
      <c r="J179" s="188" t="s">
        <v>88</v>
      </c>
      <c r="K179" s="182" t="s">
        <v>17</v>
      </c>
    </row>
    <row r="180" spans="1:12" ht="90" x14ac:dyDescent="0.25">
      <c r="A180" s="179"/>
      <c r="B180" s="181"/>
      <c r="C180" s="181"/>
      <c r="D180" s="181"/>
      <c r="E180" s="5" t="s">
        <v>18</v>
      </c>
      <c r="F180" s="5" t="s">
        <v>76</v>
      </c>
      <c r="G180" s="5" t="s">
        <v>20</v>
      </c>
      <c r="H180" s="183"/>
      <c r="I180" s="183"/>
      <c r="J180" s="182"/>
      <c r="K180" s="183"/>
    </row>
    <row r="181" spans="1:12" x14ac:dyDescent="0.25">
      <c r="A181" s="7" t="s">
        <v>21</v>
      </c>
      <c r="B181" s="8">
        <v>23573.41</v>
      </c>
      <c r="C181" s="8">
        <v>4.2300000000000004</v>
      </c>
      <c r="D181" s="8">
        <v>17.54</v>
      </c>
      <c r="E181" s="10">
        <v>1</v>
      </c>
      <c r="F181" s="11" t="s">
        <v>89</v>
      </c>
      <c r="G181" s="11"/>
      <c r="H181" s="11">
        <v>1.113</v>
      </c>
      <c r="I181" s="9">
        <f>B181*C181*((1-D181/100)+D181/100*0.8*1.113)</f>
        <v>97798.609015340699</v>
      </c>
      <c r="J181" s="9">
        <f>B181*C181*((1-D181/100)+D181/100*1.1*1.113)</f>
        <v>103638.55439442596</v>
      </c>
      <c r="K181" s="30">
        <f>B181*C181*((1-D181/100)+D181/100*1.15*1.113)</f>
        <v>104611.87862427349</v>
      </c>
    </row>
    <row r="182" spans="1:12" x14ac:dyDescent="0.25">
      <c r="A182" s="7" t="s">
        <v>23</v>
      </c>
      <c r="B182" s="8">
        <v>23573.41</v>
      </c>
      <c r="C182" s="8">
        <v>8.49</v>
      </c>
      <c r="D182" s="8">
        <v>7.19</v>
      </c>
      <c r="E182" s="10">
        <v>1</v>
      </c>
      <c r="F182" s="11" t="s">
        <v>89</v>
      </c>
      <c r="G182" s="11"/>
      <c r="H182" s="11">
        <v>1.113</v>
      </c>
      <c r="I182" s="9">
        <f>B182*C182*((1-D182/100)+D182/100*0.8*1.113)</f>
        <v>198561.1134497278</v>
      </c>
      <c r="J182" s="9">
        <f>B182*C182*((1-D182/100)+D182/100*1.1*1.113)</f>
        <v>203365.91449576698</v>
      </c>
      <c r="K182" s="30">
        <f>B182*C182*((1-D182/100)+D182/100*1.15*1.113)</f>
        <v>204166.71467010686</v>
      </c>
    </row>
    <row r="183" spans="1:12" x14ac:dyDescent="0.25">
      <c r="A183" s="7" t="s">
        <v>24</v>
      </c>
      <c r="B183" s="8">
        <v>23573.41</v>
      </c>
      <c r="C183" s="8">
        <v>13.38</v>
      </c>
      <c r="D183" s="8">
        <v>1.89</v>
      </c>
      <c r="E183" s="10">
        <v>1</v>
      </c>
      <c r="F183" s="11" t="s">
        <v>89</v>
      </c>
      <c r="G183" s="11"/>
      <c r="H183" s="11">
        <v>1.113</v>
      </c>
      <c r="I183" s="9">
        <f>B183*C183*((1-D183/100)+D183/100*0.8*1.113)</f>
        <v>314758.86829898885</v>
      </c>
      <c r="J183" s="9">
        <f>B183*C183*((1-D183/100)+D183/100*1.1*1.113)</f>
        <v>316749.3433864672</v>
      </c>
      <c r="K183" s="30">
        <f>B183*C183*((1-D183/100)+D183/100*1.15*1.113)</f>
        <v>317081.08923438023</v>
      </c>
    </row>
    <row r="184" spans="1:12" x14ac:dyDescent="0.25">
      <c r="A184" s="7" t="s">
        <v>26</v>
      </c>
      <c r="B184" s="8">
        <v>23573.41</v>
      </c>
      <c r="C184" s="8">
        <v>17.89</v>
      </c>
      <c r="D184" s="8">
        <v>2.44</v>
      </c>
      <c r="E184" s="10">
        <v>1</v>
      </c>
      <c r="F184" s="11" t="s">
        <v>89</v>
      </c>
      <c r="G184" s="11"/>
      <c r="H184" s="11">
        <v>1.113</v>
      </c>
      <c r="I184" s="9">
        <f>B184*C184*((1-D184/100)+D184/100*0.8*1.113)</f>
        <v>420600.50219790422</v>
      </c>
      <c r="J184" s="9">
        <f>B184*C184*((1-D184/100)+D184/100*1.1*1.113)</f>
        <v>424036.39017445332</v>
      </c>
      <c r="K184" s="30">
        <f>B184*C184*((1-D184/100)+D184/100*1.15*1.113)</f>
        <v>424609.03817054484</v>
      </c>
    </row>
    <row r="185" spans="1:12" x14ac:dyDescent="0.25">
      <c r="A185" s="7" t="s">
        <v>27</v>
      </c>
      <c r="B185" s="8">
        <v>23573.41</v>
      </c>
      <c r="C185" s="8">
        <v>34.58</v>
      </c>
      <c r="D185" s="8">
        <v>0.73</v>
      </c>
      <c r="E185" s="10">
        <v>1</v>
      </c>
      <c r="F185" s="11" t="s">
        <v>89</v>
      </c>
      <c r="G185" s="11"/>
      <c r="H185" s="11">
        <v>1.113</v>
      </c>
      <c r="I185" s="9">
        <f>B185*C185*((1-D185/100)+D185/100*0.8*1.113)</f>
        <v>814516.31777227856</v>
      </c>
      <c r="J185" s="9">
        <f>B185*C185*((1-D185/100)+D185/100*1.1*1.113)</f>
        <v>816503.26657936047</v>
      </c>
      <c r="K185" s="30">
        <f>B185*C185*((1-D185/100)+D185/100*1.15*1.113)</f>
        <v>816834.42471387412</v>
      </c>
    </row>
    <row r="186" spans="1:12" x14ac:dyDescent="0.25">
      <c r="A186" s="7" t="s">
        <v>28</v>
      </c>
      <c r="B186" s="8">
        <v>13285.01</v>
      </c>
      <c r="C186" s="8">
        <v>7.73</v>
      </c>
      <c r="D186" s="8">
        <v>3.76</v>
      </c>
      <c r="E186" s="10">
        <v>1</v>
      </c>
      <c r="F186" s="11">
        <v>1</v>
      </c>
      <c r="G186" s="11"/>
      <c r="H186" s="11" t="s">
        <v>90</v>
      </c>
      <c r="I186" s="9">
        <f>B186*C186*((1-D186/100)+D186/100*1*1.105)</f>
        <v>103098.55976658041</v>
      </c>
      <c r="J186" s="9">
        <f>B186*C186*((1-D186/100)+D186/100*1*1.105)</f>
        <v>103098.55976658041</v>
      </c>
      <c r="K186" s="30">
        <f>B186*C186*((1-D186/100)+D186/100*1*1*1.21)</f>
        <v>103503.99223316082</v>
      </c>
    </row>
    <row r="187" spans="1:12" x14ac:dyDescent="0.25">
      <c r="A187" s="7" t="s">
        <v>29</v>
      </c>
      <c r="B187" s="8">
        <v>13285.01</v>
      </c>
      <c r="C187" s="8">
        <v>11.25</v>
      </c>
      <c r="D187" s="8">
        <v>6.78</v>
      </c>
      <c r="E187" s="10">
        <v>1</v>
      </c>
      <c r="F187" s="11">
        <v>1</v>
      </c>
      <c r="G187" s="11"/>
      <c r="H187" s="11" t="s">
        <v>90</v>
      </c>
      <c r="I187" s="9">
        <f>B187*C187*((1-D187/100)+D187/100*1*1.105)</f>
        <v>150520.34234463749</v>
      </c>
      <c r="J187" s="9">
        <f>B187*C187*((1-D187/100)+D187/100*1*1.105)</f>
        <v>150520.34234463749</v>
      </c>
      <c r="K187" s="30">
        <f>B187*C187*((1-D187/100)+D187/100*1*1*1.21)</f>
        <v>151584.32218927497</v>
      </c>
    </row>
    <row r="188" spans="1:12" x14ac:dyDescent="0.25">
      <c r="A188" s="7" t="s">
        <v>30</v>
      </c>
      <c r="B188" s="8">
        <v>13285.01</v>
      </c>
      <c r="C188" s="8">
        <v>15.26</v>
      </c>
      <c r="D188" s="8">
        <v>0.43</v>
      </c>
      <c r="E188" s="10">
        <v>1</v>
      </c>
      <c r="F188" s="11">
        <v>1</v>
      </c>
      <c r="G188" s="11"/>
      <c r="H188" s="11" t="s">
        <v>90</v>
      </c>
      <c r="I188" s="9">
        <f>B188*C188*((1-D188/100)+D188/100*1*1.105)</f>
        <v>202820.78485754892</v>
      </c>
      <c r="J188" s="9">
        <f>B188*C188*((1-D188/100)+D188/100*1*1.105)</f>
        <v>202820.78485754892</v>
      </c>
      <c r="K188" s="30">
        <f>B188*C188*((1-D188/100)+D188/100*1*1*1.21)</f>
        <v>202912.31711509783</v>
      </c>
    </row>
    <row r="189" spans="1:12" x14ac:dyDescent="0.25">
      <c r="A189" s="7" t="s">
        <v>31</v>
      </c>
      <c r="B189" s="8">
        <v>13285.01</v>
      </c>
      <c r="C189" s="8">
        <v>23.85</v>
      </c>
      <c r="D189" s="8">
        <v>0.32</v>
      </c>
      <c r="E189" s="10">
        <v>1</v>
      </c>
      <c r="F189" s="11">
        <v>1</v>
      </c>
      <c r="G189" s="11"/>
      <c r="H189" s="11" t="s">
        <v>90</v>
      </c>
      <c r="I189" s="9">
        <f>B189*C189*((1-D189/100)+D189/100*1*1.105)</f>
        <v>316953.94925613608</v>
      </c>
      <c r="J189" s="9">
        <f>B189*C189*((1-D189/100)+D189/100*1*1.105)</f>
        <v>316953.94925613608</v>
      </c>
      <c r="K189" s="30">
        <f>B189*C189*((1-D189/100)+D189/100*1*1*1.21)</f>
        <v>317060.41001227201</v>
      </c>
    </row>
    <row r="190" spans="1:12" ht="15.75" thickBot="1" x14ac:dyDescent="0.3">
      <c r="A190" s="13" t="s">
        <v>32</v>
      </c>
      <c r="B190" s="14">
        <v>13285.01</v>
      </c>
      <c r="C190" s="14">
        <v>35.24</v>
      </c>
      <c r="D190" s="14">
        <v>0.67</v>
      </c>
      <c r="E190" s="16">
        <v>1</v>
      </c>
      <c r="F190" s="17">
        <v>1</v>
      </c>
      <c r="G190" s="17"/>
      <c r="H190" s="17" t="s">
        <v>90</v>
      </c>
      <c r="I190" s="15">
        <f>B190*C190*((1-D190/100)+D190/100*1*1.105)</f>
        <v>468493.10559981345</v>
      </c>
      <c r="J190" s="15">
        <f>B190*C190*((1-D190/100)+D190/100*1*1.105)</f>
        <v>468493.10559981345</v>
      </c>
      <c r="K190" s="31">
        <f>B190*C190*((1-D190/100)+D190/100*1*1*1.21)</f>
        <v>468822.45879962685</v>
      </c>
    </row>
    <row r="191" spans="1:12" ht="19.5" thickBot="1" x14ac:dyDescent="0.35">
      <c r="A191" s="189" t="s">
        <v>91</v>
      </c>
      <c r="B191" s="190"/>
      <c r="C191" s="190"/>
      <c r="D191" s="190"/>
      <c r="E191" s="190"/>
      <c r="F191" s="190"/>
      <c r="G191" s="190"/>
      <c r="H191" s="190"/>
      <c r="I191" s="190"/>
      <c r="J191" s="190"/>
      <c r="K191" s="191"/>
      <c r="L191" t="s">
        <v>87</v>
      </c>
    </row>
    <row r="192" spans="1:12" x14ac:dyDescent="0.25">
      <c r="A192" s="178"/>
      <c r="B192" s="180" t="s">
        <v>10</v>
      </c>
      <c r="C192" s="180" t="s">
        <v>11</v>
      </c>
      <c r="D192" s="180" t="s">
        <v>12</v>
      </c>
      <c r="E192" s="179" t="s">
        <v>13</v>
      </c>
      <c r="F192" s="179"/>
      <c r="G192" s="179"/>
      <c r="H192" s="182" t="s">
        <v>14</v>
      </c>
      <c r="I192" s="182" t="s">
        <v>15</v>
      </c>
      <c r="J192" s="184" t="s">
        <v>88</v>
      </c>
      <c r="K192" s="182" t="s">
        <v>17</v>
      </c>
    </row>
    <row r="193" spans="1:12" ht="90" x14ac:dyDescent="0.25">
      <c r="A193" s="179"/>
      <c r="B193" s="181"/>
      <c r="C193" s="181"/>
      <c r="D193" s="181"/>
      <c r="E193" s="5" t="s">
        <v>18</v>
      </c>
      <c r="F193" s="5" t="s">
        <v>76</v>
      </c>
      <c r="G193" s="5" t="s">
        <v>20</v>
      </c>
      <c r="H193" s="183"/>
      <c r="I193" s="183"/>
      <c r="J193" s="182"/>
      <c r="K193" s="183"/>
    </row>
    <row r="194" spans="1:12" x14ac:dyDescent="0.25">
      <c r="A194" s="19" t="s">
        <v>34</v>
      </c>
      <c r="B194" s="32">
        <v>24635.88</v>
      </c>
      <c r="C194" s="20">
        <v>4.88</v>
      </c>
      <c r="D194" s="21">
        <v>5.8400000000000001E-2</v>
      </c>
      <c r="E194" s="20">
        <v>1</v>
      </c>
      <c r="F194" s="36" t="s">
        <v>92</v>
      </c>
      <c r="G194" s="20"/>
      <c r="H194" s="37">
        <v>1.113</v>
      </c>
      <c r="I194" s="8">
        <f t="shared" ref="I194:I199" si="34">B194*C194*((1-D194)+D194*E194*1.113*0.9)+0</f>
        <v>120235.03014881203</v>
      </c>
      <c r="J194" s="8">
        <f t="shared" ref="J194:J199" si="35">B194*C194*((1-D194)+D194*E194*1.113*1.1)+0</f>
        <v>121797.91114031692</v>
      </c>
      <c r="K194" s="22">
        <f t="shared" ref="K194:K199" si="36">B194*C194*((1-D194)+D194*E194*1.113*1.2)+0</f>
        <v>122579.35163606936</v>
      </c>
    </row>
    <row r="195" spans="1:12" x14ac:dyDescent="0.25">
      <c r="A195" s="19" t="s">
        <v>36</v>
      </c>
      <c r="B195" s="32">
        <v>24635.88</v>
      </c>
      <c r="C195" s="20">
        <v>8.07</v>
      </c>
      <c r="D195" s="23">
        <v>3.32E-2</v>
      </c>
      <c r="E195" s="20">
        <v>1</v>
      </c>
      <c r="F195" s="36" t="s">
        <v>92</v>
      </c>
      <c r="G195" s="20"/>
      <c r="H195" s="37">
        <v>1.113</v>
      </c>
      <c r="I195" s="8">
        <f t="shared" si="34"/>
        <v>198822.77252397232</v>
      </c>
      <c r="J195" s="8">
        <f t="shared" si="35"/>
        <v>200292.05350999284</v>
      </c>
      <c r="K195" s="22">
        <f t="shared" si="36"/>
        <v>201026.6940030031</v>
      </c>
    </row>
    <row r="196" spans="1:12" x14ac:dyDescent="0.25">
      <c r="A196" s="24" t="s">
        <v>37</v>
      </c>
      <c r="B196" s="32">
        <v>24635.88</v>
      </c>
      <c r="C196" s="20">
        <v>10.11</v>
      </c>
      <c r="D196" s="23">
        <v>2.1499999999999998E-2</v>
      </c>
      <c r="E196" s="20">
        <v>1</v>
      </c>
      <c r="F196" s="36" t="s">
        <v>92</v>
      </c>
      <c r="G196" s="20"/>
      <c r="H196" s="37">
        <v>1.113</v>
      </c>
      <c r="I196" s="8">
        <f t="shared" si="34"/>
        <v>249077.85026269557</v>
      </c>
      <c r="J196" s="8">
        <f t="shared" si="35"/>
        <v>250269.86837800566</v>
      </c>
      <c r="K196" s="22">
        <f t="shared" si="36"/>
        <v>250865.87743566072</v>
      </c>
    </row>
    <row r="197" spans="1:12" x14ac:dyDescent="0.25">
      <c r="A197" s="24" t="s">
        <v>38</v>
      </c>
      <c r="B197" s="32">
        <v>24635.88</v>
      </c>
      <c r="C197" s="20">
        <v>13.86</v>
      </c>
      <c r="D197" s="23">
        <v>1.55E-2</v>
      </c>
      <c r="E197" s="20">
        <v>1</v>
      </c>
      <c r="F197" s="36" t="s">
        <v>92</v>
      </c>
      <c r="G197" s="20"/>
      <c r="H197" s="37">
        <v>1.113</v>
      </c>
      <c r="I197" s="8">
        <f t="shared" si="34"/>
        <v>341462.29409437068</v>
      </c>
      <c r="J197" s="8">
        <f t="shared" si="35"/>
        <v>342640.41040431976</v>
      </c>
      <c r="K197" s="22">
        <f t="shared" si="36"/>
        <v>343229.46855929424</v>
      </c>
    </row>
    <row r="198" spans="1:12" x14ac:dyDescent="0.25">
      <c r="A198" s="24" t="s">
        <v>39</v>
      </c>
      <c r="B198" s="32">
        <v>24635.88</v>
      </c>
      <c r="C198" s="20">
        <v>17.2</v>
      </c>
      <c r="D198" s="23">
        <v>1.1900000000000001E-2</v>
      </c>
      <c r="E198" s="20">
        <v>1</v>
      </c>
      <c r="F198" s="36" t="s">
        <v>92</v>
      </c>
      <c r="G198" s="20"/>
      <c r="H198" s="37">
        <v>1.113</v>
      </c>
      <c r="I198" s="8">
        <f t="shared" si="34"/>
        <v>423745.7082022613</v>
      </c>
      <c r="J198" s="8">
        <f t="shared" si="35"/>
        <v>424868.16245129704</v>
      </c>
      <c r="K198" s="22">
        <f t="shared" si="36"/>
        <v>425429.38957581506</v>
      </c>
    </row>
    <row r="199" spans="1:12" x14ac:dyDescent="0.25">
      <c r="A199" s="24" t="s">
        <v>40</v>
      </c>
      <c r="B199" s="32">
        <v>24635.88</v>
      </c>
      <c r="C199" s="20">
        <v>29.17</v>
      </c>
      <c r="D199" s="23">
        <v>6.8999999999999999E-3</v>
      </c>
      <c r="E199" s="20">
        <v>1</v>
      </c>
      <c r="F199" s="36" t="s">
        <v>92</v>
      </c>
      <c r="G199" s="20"/>
      <c r="H199" s="37">
        <v>1.113</v>
      </c>
      <c r="I199" s="8">
        <f t="shared" si="34"/>
        <v>718637.04911370797</v>
      </c>
      <c r="J199" s="8">
        <f t="shared" si="35"/>
        <v>719740.81955569633</v>
      </c>
      <c r="K199" s="22">
        <f t="shared" si="36"/>
        <v>720292.70477669057</v>
      </c>
    </row>
    <row r="200" spans="1:12" x14ac:dyDescent="0.25">
      <c r="A200" s="19" t="s">
        <v>41</v>
      </c>
      <c r="B200" s="32">
        <v>13915.63</v>
      </c>
      <c r="C200" s="20">
        <v>8.57</v>
      </c>
      <c r="D200" s="25">
        <v>0.15079999999999999</v>
      </c>
      <c r="E200" s="20">
        <v>1</v>
      </c>
      <c r="F200" s="20">
        <v>1</v>
      </c>
      <c r="G200" s="20"/>
      <c r="H200" s="37" t="s">
        <v>90</v>
      </c>
      <c r="I200" s="8">
        <f t="shared" ref="I200:I205" si="37">B200*C200*((1-D200)+D200*E200*1.105*1)+0</f>
        <v>121145.26363204939</v>
      </c>
      <c r="J200" s="8">
        <f t="shared" ref="J200:J205" si="38">B200*C200*((1-D200)+D200*E200*1.105*1)+0</f>
        <v>121145.26363204939</v>
      </c>
      <c r="K200" s="22">
        <f t="shared" ref="K200:K205" si="39">B200*C200*((1-D200)+D200*E200*1.21*1)+0</f>
        <v>123033.5781640988</v>
      </c>
    </row>
    <row r="201" spans="1:12" x14ac:dyDescent="0.25">
      <c r="A201" s="7" t="s">
        <v>42</v>
      </c>
      <c r="B201" s="32">
        <v>13915.63</v>
      </c>
      <c r="C201" s="20">
        <v>9.65</v>
      </c>
      <c r="D201" s="25">
        <v>0.14910000000000001</v>
      </c>
      <c r="E201" s="20">
        <v>1</v>
      </c>
      <c r="F201" s="20">
        <v>1</v>
      </c>
      <c r="G201" s="20"/>
      <c r="H201" s="37" t="s">
        <v>90</v>
      </c>
      <c r="I201" s="8">
        <f t="shared" si="37"/>
        <v>136388.14130373724</v>
      </c>
      <c r="J201" s="8">
        <f t="shared" si="38"/>
        <v>136388.14130373724</v>
      </c>
      <c r="K201" s="22">
        <f t="shared" si="39"/>
        <v>138490.45310747452</v>
      </c>
    </row>
    <row r="202" spans="1:12" x14ac:dyDescent="0.25">
      <c r="A202" s="7" t="s">
        <v>43</v>
      </c>
      <c r="B202" s="32">
        <v>13915.63</v>
      </c>
      <c r="C202" s="20">
        <v>13.5</v>
      </c>
      <c r="D202" s="25">
        <v>9.9900000000000003E-2</v>
      </c>
      <c r="E202" s="20">
        <v>1</v>
      </c>
      <c r="F202" s="20">
        <v>1</v>
      </c>
      <c r="G202" s="20"/>
      <c r="H202" s="37" t="s">
        <v>90</v>
      </c>
      <c r="I202" s="8">
        <f t="shared" si="37"/>
        <v>189831.57301194748</v>
      </c>
      <c r="J202" s="8">
        <f t="shared" si="38"/>
        <v>189831.57301194748</v>
      </c>
      <c r="K202" s="22">
        <f t="shared" si="39"/>
        <v>191802.141023895</v>
      </c>
    </row>
    <row r="203" spans="1:12" x14ac:dyDescent="0.25">
      <c r="A203" s="7" t="s">
        <v>44</v>
      </c>
      <c r="B203" s="32">
        <v>13915.63</v>
      </c>
      <c r="C203" s="20">
        <v>16.03</v>
      </c>
      <c r="D203" s="25">
        <v>8.4900000000000003E-2</v>
      </c>
      <c r="E203" s="20">
        <v>1</v>
      </c>
      <c r="F203" s="20">
        <v>1</v>
      </c>
      <c r="G203" s="7"/>
      <c r="H203" s="37" t="s">
        <v>90</v>
      </c>
      <c r="I203" s="8">
        <f t="shared" si="37"/>
        <v>225056.08456466903</v>
      </c>
      <c r="J203" s="8">
        <f t="shared" si="38"/>
        <v>225056.08456466903</v>
      </c>
      <c r="K203" s="22">
        <f t="shared" si="39"/>
        <v>227044.62022933812</v>
      </c>
    </row>
    <row r="204" spans="1:12" x14ac:dyDescent="0.25">
      <c r="A204" s="24" t="s">
        <v>45</v>
      </c>
      <c r="B204" s="32">
        <v>13915.63</v>
      </c>
      <c r="C204" s="20">
        <v>27.22</v>
      </c>
      <c r="D204" s="25">
        <v>2.8199999999999999E-2</v>
      </c>
      <c r="E204" s="20">
        <v>1</v>
      </c>
      <c r="F204" s="20">
        <v>1</v>
      </c>
      <c r="G204" s="7"/>
      <c r="H204" s="37" t="s">
        <v>90</v>
      </c>
      <c r="I204" s="8">
        <f t="shared" si="37"/>
        <v>379905.02639130456</v>
      </c>
      <c r="J204" s="8">
        <f t="shared" si="38"/>
        <v>379905.02639130456</v>
      </c>
      <c r="K204" s="22">
        <f t="shared" si="39"/>
        <v>381026.60418260912</v>
      </c>
    </row>
    <row r="205" spans="1:12" ht="15.75" thickBot="1" x14ac:dyDescent="0.3">
      <c r="A205" s="24" t="s">
        <v>46</v>
      </c>
      <c r="B205" s="32">
        <v>13915.63</v>
      </c>
      <c r="C205" s="20">
        <v>56.65</v>
      </c>
      <c r="D205" s="25">
        <v>2.3E-3</v>
      </c>
      <c r="E205" s="20">
        <v>1</v>
      </c>
      <c r="F205" s="20">
        <v>1</v>
      </c>
      <c r="G205" s="7"/>
      <c r="H205" s="37" t="s">
        <v>90</v>
      </c>
      <c r="I205" s="8">
        <f t="shared" si="37"/>
        <v>788510.8188861392</v>
      </c>
      <c r="J205" s="8">
        <f t="shared" si="38"/>
        <v>788510.8188861392</v>
      </c>
      <c r="K205" s="22">
        <f t="shared" si="39"/>
        <v>788701.19827227853</v>
      </c>
    </row>
    <row r="206" spans="1:12" ht="19.5" thickBot="1" x14ac:dyDescent="0.35">
      <c r="A206" s="185" t="s">
        <v>93</v>
      </c>
      <c r="B206" s="186"/>
      <c r="C206" s="186"/>
      <c r="D206" s="186"/>
      <c r="E206" s="186"/>
      <c r="F206" s="186"/>
      <c r="G206" s="186"/>
      <c r="H206" s="186"/>
      <c r="I206" s="186"/>
      <c r="J206" s="186"/>
      <c r="K206" s="187"/>
      <c r="L206" t="s">
        <v>94</v>
      </c>
    </row>
    <row r="207" spans="1:12" x14ac:dyDescent="0.25">
      <c r="A207" s="178"/>
      <c r="B207" s="180" t="s">
        <v>10</v>
      </c>
      <c r="C207" s="180" t="s">
        <v>11</v>
      </c>
      <c r="D207" s="180" t="s">
        <v>12</v>
      </c>
      <c r="E207" s="179" t="s">
        <v>13</v>
      </c>
      <c r="F207" s="179"/>
      <c r="G207" s="179"/>
      <c r="H207" s="182" t="s">
        <v>14</v>
      </c>
      <c r="I207" s="182" t="s">
        <v>15</v>
      </c>
      <c r="J207" s="188" t="s">
        <v>95</v>
      </c>
      <c r="K207" s="182" t="s">
        <v>17</v>
      </c>
    </row>
    <row r="208" spans="1:12" ht="90" x14ac:dyDescent="0.25">
      <c r="A208" s="179"/>
      <c r="B208" s="181"/>
      <c r="C208" s="181"/>
      <c r="D208" s="181"/>
      <c r="E208" s="5" t="s">
        <v>51</v>
      </c>
      <c r="F208" s="5" t="s">
        <v>76</v>
      </c>
      <c r="G208" s="5" t="s">
        <v>20</v>
      </c>
      <c r="H208" s="183"/>
      <c r="I208" s="183"/>
      <c r="J208" s="182"/>
      <c r="K208" s="183"/>
    </row>
    <row r="209" spans="1:12" x14ac:dyDescent="0.25">
      <c r="A209" s="7" t="s">
        <v>21</v>
      </c>
      <c r="B209" s="8">
        <v>23456.22</v>
      </c>
      <c r="C209" s="8">
        <v>4.2300000000000004</v>
      </c>
      <c r="D209" s="8">
        <v>17.54</v>
      </c>
      <c r="E209" s="10">
        <v>1</v>
      </c>
      <c r="F209" s="11" t="s">
        <v>96</v>
      </c>
      <c r="G209" s="11"/>
      <c r="H209" s="10">
        <v>1</v>
      </c>
      <c r="I209" s="9">
        <f>B209*C209*((1-D209/100)+D209/100*0.9*1)</f>
        <v>97479.495122076012</v>
      </c>
      <c r="J209" s="9">
        <f>B209*C209*((1-D209/100)+D209/100*1.15*1)</f>
        <v>101830.28381688602</v>
      </c>
      <c r="K209" s="9">
        <f>B209*C209*((1-D209/100)+D209/100*1*1.15)</f>
        <v>101830.28381688602</v>
      </c>
    </row>
    <row r="210" spans="1:12" x14ac:dyDescent="0.25">
      <c r="A210" s="7" t="s">
        <v>23</v>
      </c>
      <c r="B210" s="8">
        <v>23456.22</v>
      </c>
      <c r="C210" s="8">
        <v>8.49</v>
      </c>
      <c r="D210" s="8">
        <v>7.19</v>
      </c>
      <c r="E210" s="10">
        <v>1</v>
      </c>
      <c r="F210" s="11" t="s">
        <v>96</v>
      </c>
      <c r="G210" s="11"/>
      <c r="H210" s="10">
        <v>1</v>
      </c>
      <c r="I210" s="9">
        <v>197711.47</v>
      </c>
      <c r="J210" s="9">
        <f>B210*C210*((1-D210/100)+D210/100*1.15*1)</f>
        <v>201291.06837462302</v>
      </c>
      <c r="K210" s="9">
        <f>B210*C210*((1-D210/100)+D210/100*1*1.15)</f>
        <v>201291.06837462302</v>
      </c>
    </row>
    <row r="211" spans="1:12" x14ac:dyDescent="0.25">
      <c r="A211" s="7" t="s">
        <v>24</v>
      </c>
      <c r="B211" s="8">
        <v>23456.22</v>
      </c>
      <c r="C211" s="8">
        <v>13.38</v>
      </c>
      <c r="D211" s="8">
        <v>1.89</v>
      </c>
      <c r="E211" s="10">
        <v>1</v>
      </c>
      <c r="F211" s="11" t="s">
        <v>96</v>
      </c>
      <c r="G211" s="11"/>
      <c r="H211" s="10">
        <v>1</v>
      </c>
      <c r="I211" s="9">
        <v>197712.47</v>
      </c>
      <c r="J211" s="9">
        <f>B211*C211*((1-D211/100)+D211/100*1.15*1)</f>
        <v>314733.97197390598</v>
      </c>
      <c r="K211" s="9">
        <f>B211*C211*((1-D211/100)+D211/100*1*1.15)</f>
        <v>314733.97197390598</v>
      </c>
    </row>
    <row r="212" spans="1:12" x14ac:dyDescent="0.25">
      <c r="A212" s="7" t="s">
        <v>26</v>
      </c>
      <c r="B212" s="8">
        <v>23456.22</v>
      </c>
      <c r="C212" s="8">
        <v>17.89</v>
      </c>
      <c r="D212" s="8">
        <v>2.44</v>
      </c>
      <c r="E212" s="10">
        <v>1</v>
      </c>
      <c r="F212" s="11" t="s">
        <v>96</v>
      </c>
      <c r="G212" s="11"/>
      <c r="H212" s="10">
        <v>1</v>
      </c>
      <c r="I212" s="9">
        <v>418607.87</v>
      </c>
      <c r="J212" s="9">
        <f>B212*C212*((1-D212/100)+D212/100*1.15*1)</f>
        <v>421167.62809942808</v>
      </c>
      <c r="K212" s="9">
        <f>B212*C212*((1-D212/100)+D212/100*1*1.15)</f>
        <v>421167.62809942808</v>
      </c>
    </row>
    <row r="213" spans="1:12" x14ac:dyDescent="0.25">
      <c r="A213" s="7" t="s">
        <v>27</v>
      </c>
      <c r="B213" s="8">
        <v>23456.22</v>
      </c>
      <c r="C213" s="8">
        <v>34.58</v>
      </c>
      <c r="D213" s="8">
        <v>0.73</v>
      </c>
      <c r="E213" s="10">
        <v>1</v>
      </c>
      <c r="F213" s="11" t="s">
        <v>96</v>
      </c>
      <c r="G213" s="11"/>
      <c r="H213" s="10">
        <v>1</v>
      </c>
      <c r="I213" s="9">
        <v>810523.97</v>
      </c>
      <c r="J213" s="9">
        <f>B213*C213*((1-D213/100)+D213/100*1.15*1)</f>
        <v>812004.25971592206</v>
      </c>
      <c r="K213" s="9">
        <f>B213*C213*((1-D213/100)+D213/100*1*1.15)</f>
        <v>812004.25971592206</v>
      </c>
    </row>
    <row r="214" spans="1:12" x14ac:dyDescent="0.25">
      <c r="A214" s="7" t="s">
        <v>28</v>
      </c>
      <c r="B214" s="8">
        <v>13285.1</v>
      </c>
      <c r="C214" s="8">
        <v>7.73</v>
      </c>
      <c r="D214" s="8">
        <v>3.76</v>
      </c>
      <c r="E214" s="10">
        <v>1</v>
      </c>
      <c r="F214" s="11" t="s">
        <v>97</v>
      </c>
      <c r="G214" s="11"/>
      <c r="H214" s="10">
        <v>1</v>
      </c>
      <c r="I214" s="9">
        <f>B214*C214*((1-D214/100)+D214/100*1*0.9)</f>
        <v>102307.69422552001</v>
      </c>
      <c r="J214" s="9">
        <f>B214*C214*((1-D214/100)+D214/100*1.3*1)</f>
        <v>103852.20932343999</v>
      </c>
      <c r="K214" s="9">
        <f>B214*C214*((1-D214/100)+D214/100*1*1.3)</f>
        <v>103852.20932343999</v>
      </c>
    </row>
    <row r="215" spans="1:12" x14ac:dyDescent="0.25">
      <c r="A215" s="7" t="s">
        <v>29</v>
      </c>
      <c r="B215" s="8">
        <v>13285.1</v>
      </c>
      <c r="C215" s="8">
        <v>11.25</v>
      </c>
      <c r="D215" s="8">
        <v>6.78</v>
      </c>
      <c r="E215" s="10">
        <v>1</v>
      </c>
      <c r="F215" s="11" t="s">
        <v>97</v>
      </c>
      <c r="G215" s="11"/>
      <c r="H215" s="10">
        <v>1</v>
      </c>
      <c r="I215" s="9">
        <f>B215*C215*((1-D215/100)+D215/100*1*0.9)</f>
        <v>148444.05399749998</v>
      </c>
      <c r="J215" s="9">
        <f>B215*C215*((1-D215/100)+D215/100*1.3*1)</f>
        <v>152497.33800750002</v>
      </c>
      <c r="K215" s="9">
        <f>B215*C215*((1-D215/100)+D215/100*1*1.3)</f>
        <v>152497.33800750002</v>
      </c>
    </row>
    <row r="216" spans="1:12" x14ac:dyDescent="0.25">
      <c r="A216" s="7" t="s">
        <v>30</v>
      </c>
      <c r="B216" s="8">
        <v>13285.1</v>
      </c>
      <c r="C216" s="8">
        <v>15.26</v>
      </c>
      <c r="D216" s="8">
        <v>0.43</v>
      </c>
      <c r="E216" s="10">
        <v>1</v>
      </c>
      <c r="F216" s="11" t="s">
        <v>97</v>
      </c>
      <c r="G216" s="11"/>
      <c r="H216" s="10">
        <v>1</v>
      </c>
      <c r="I216" s="9">
        <f>B216*C216*((1-D216/100)+D216/100*1*0.9)</f>
        <v>202643.45183082001</v>
      </c>
      <c r="J216" s="9">
        <f>B216*C216*((1-D216/100)+D216/100*1.3*1)</f>
        <v>202992.14850754</v>
      </c>
      <c r="K216" s="9">
        <f>B216*C216*((1-D216/100)+D216/100*1*1.3)</f>
        <v>202992.14850754</v>
      </c>
    </row>
    <row r="217" spans="1:12" x14ac:dyDescent="0.25">
      <c r="A217" s="7" t="s">
        <v>31</v>
      </c>
      <c r="B217" s="8">
        <v>13285.1</v>
      </c>
      <c r="C217" s="8">
        <v>23.85</v>
      </c>
      <c r="D217" s="8">
        <v>0.32</v>
      </c>
      <c r="E217" s="10">
        <v>1</v>
      </c>
      <c r="F217" s="11" t="s">
        <v>97</v>
      </c>
      <c r="G217" s="11"/>
      <c r="H217" s="10">
        <v>1</v>
      </c>
      <c r="I217" s="9">
        <f>B217*C217*((1-D217/100)+D217/100*1*0.9)</f>
        <v>316748.24311680003</v>
      </c>
      <c r="J217" s="9">
        <f>B217*C217*((1-D217/100)+D217/100*1.3*1)</f>
        <v>317153.81064960005</v>
      </c>
      <c r="K217" s="9">
        <f>B217*C217*((1-D217/100)+D217/100*1*1.3)</f>
        <v>317153.81064960005</v>
      </c>
    </row>
    <row r="218" spans="1:12" ht="15.75" thickBot="1" x14ac:dyDescent="0.3">
      <c r="A218" s="13" t="s">
        <v>32</v>
      </c>
      <c r="B218" s="14">
        <v>13285.1</v>
      </c>
      <c r="C218" s="14">
        <v>35.24</v>
      </c>
      <c r="D218" s="14">
        <v>0.67</v>
      </c>
      <c r="E218" s="16">
        <v>1</v>
      </c>
      <c r="F218" s="17" t="s">
        <v>97</v>
      </c>
      <c r="G218" s="17"/>
      <c r="H218" s="16">
        <v>1</v>
      </c>
      <c r="I218" s="15">
        <f>B218*C218*((1-D218/100)+D218/100*1*0.9)</f>
        <v>467853.25216092</v>
      </c>
      <c r="J218" s="15">
        <f>B218*C218*((1-D218/100)+D218/100*1.3*1)</f>
        <v>469107.9395172401</v>
      </c>
      <c r="K218" s="15">
        <f>B218*C218*((1-D218/100)+D218/100*1*1.3)</f>
        <v>469107.9395172401</v>
      </c>
    </row>
    <row r="219" spans="1:12" ht="19.5" thickBot="1" x14ac:dyDescent="0.35">
      <c r="A219" s="189" t="s">
        <v>98</v>
      </c>
      <c r="B219" s="190"/>
      <c r="C219" s="190"/>
      <c r="D219" s="190"/>
      <c r="E219" s="190"/>
      <c r="F219" s="190"/>
      <c r="G219" s="190"/>
      <c r="H219" s="190"/>
      <c r="I219" s="190"/>
      <c r="J219" s="190"/>
      <c r="K219" s="191"/>
      <c r="L219" t="s">
        <v>99</v>
      </c>
    </row>
    <row r="220" spans="1:12" x14ac:dyDescent="0.25">
      <c r="A220" s="178"/>
      <c r="B220" s="180" t="s">
        <v>10</v>
      </c>
      <c r="C220" s="180" t="s">
        <v>11</v>
      </c>
      <c r="D220" s="180" t="s">
        <v>12</v>
      </c>
      <c r="E220" s="179" t="s">
        <v>13</v>
      </c>
      <c r="F220" s="179"/>
      <c r="G220" s="179"/>
      <c r="H220" s="182" t="s">
        <v>14</v>
      </c>
      <c r="I220" s="182" t="s">
        <v>15</v>
      </c>
      <c r="J220" s="184" t="s">
        <v>100</v>
      </c>
      <c r="K220" s="182" t="s">
        <v>17</v>
      </c>
    </row>
    <row r="221" spans="1:12" ht="90" x14ac:dyDescent="0.25">
      <c r="A221" s="179"/>
      <c r="B221" s="181"/>
      <c r="C221" s="181"/>
      <c r="D221" s="181"/>
      <c r="E221" s="5" t="s">
        <v>51</v>
      </c>
      <c r="F221" s="5" t="s">
        <v>76</v>
      </c>
      <c r="G221" s="5" t="s">
        <v>20</v>
      </c>
      <c r="H221" s="183"/>
      <c r="I221" s="183"/>
      <c r="J221" s="182"/>
      <c r="K221" s="183"/>
    </row>
    <row r="222" spans="1:12" x14ac:dyDescent="0.25">
      <c r="A222" s="19" t="s">
        <v>34</v>
      </c>
      <c r="B222" s="139">
        <v>24277.7</v>
      </c>
      <c r="C222" s="20">
        <v>4.88</v>
      </c>
      <c r="D222" s="21">
        <v>5.8400000000000001E-2</v>
      </c>
      <c r="E222" s="20">
        <v>1</v>
      </c>
      <c r="F222" s="36" t="s">
        <v>101</v>
      </c>
      <c r="G222" s="20"/>
      <c r="H222" s="37">
        <v>1</v>
      </c>
      <c r="I222" s="8">
        <f t="shared" ref="I222:I233" si="40">B222*C222*((1-D222)+D222*E222*1*0.9)+0</f>
        <v>117783.28097216001</v>
      </c>
      <c r="J222" s="8">
        <f t="shared" ref="J222:J233" si="41">B222*C222*((1-D222)+D222*E222*1.15*1)+0</f>
        <v>119513.01854176002</v>
      </c>
      <c r="K222" s="22">
        <f t="shared" ref="K222:K227" si="42">B222*C222*((1-D222)+D222*E222*1.15*1)+0</f>
        <v>119513.01854176002</v>
      </c>
    </row>
    <row r="223" spans="1:12" x14ac:dyDescent="0.25">
      <c r="A223" s="19" t="s">
        <v>36</v>
      </c>
      <c r="B223" s="139">
        <v>24277.7</v>
      </c>
      <c r="C223" s="20">
        <v>8.07</v>
      </c>
      <c r="D223" s="23">
        <v>3.32E-2</v>
      </c>
      <c r="E223" s="20">
        <v>1</v>
      </c>
      <c r="F223" s="36" t="s">
        <v>101</v>
      </c>
      <c r="G223" s="20"/>
      <c r="H223" s="37">
        <v>1</v>
      </c>
      <c r="I223" s="8">
        <f t="shared" si="40"/>
        <v>195270.58115052001</v>
      </c>
      <c r="J223" s="8">
        <f t="shared" si="41"/>
        <v>196896.72577422002</v>
      </c>
      <c r="K223" s="22">
        <f t="shared" si="42"/>
        <v>196896.72577422002</v>
      </c>
    </row>
    <row r="224" spans="1:12" x14ac:dyDescent="0.25">
      <c r="A224" s="24" t="s">
        <v>37</v>
      </c>
      <c r="B224" s="139">
        <v>24277.7</v>
      </c>
      <c r="C224" s="20">
        <v>10.11</v>
      </c>
      <c r="D224" s="23">
        <v>2.1499999999999998E-2</v>
      </c>
      <c r="E224" s="20">
        <v>1</v>
      </c>
      <c r="F224" s="36" t="s">
        <v>101</v>
      </c>
      <c r="G224" s="20"/>
      <c r="H224" s="37">
        <v>1</v>
      </c>
      <c r="I224" s="8">
        <f t="shared" si="40"/>
        <v>244919.83477394999</v>
      </c>
      <c r="J224" s="8">
        <f t="shared" si="41"/>
        <v>246239.11533907501</v>
      </c>
      <c r="K224" s="22">
        <f t="shared" si="42"/>
        <v>246239.11533907501</v>
      </c>
    </row>
    <row r="225" spans="1:12" x14ac:dyDescent="0.25">
      <c r="A225" s="24" t="s">
        <v>38</v>
      </c>
      <c r="B225" s="139">
        <v>24277.7</v>
      </c>
      <c r="C225" s="20">
        <v>13.86</v>
      </c>
      <c r="D225" s="23">
        <v>1.55E-2</v>
      </c>
      <c r="E225" s="20">
        <v>1</v>
      </c>
      <c r="F225" s="36" t="s">
        <v>101</v>
      </c>
      <c r="G225" s="20"/>
      <c r="H225" s="37">
        <v>1</v>
      </c>
      <c r="I225" s="8">
        <f t="shared" si="40"/>
        <v>335967.36417090002</v>
      </c>
      <c r="J225" s="8">
        <f t="shared" si="41"/>
        <v>337271.25874365005</v>
      </c>
      <c r="K225" s="22">
        <f t="shared" si="42"/>
        <v>337271.25874365005</v>
      </c>
    </row>
    <row r="226" spans="1:12" x14ac:dyDescent="0.25">
      <c r="A226" s="24" t="s">
        <v>39</v>
      </c>
      <c r="B226" s="139">
        <v>24277.7</v>
      </c>
      <c r="C226" s="20">
        <v>17.2</v>
      </c>
      <c r="D226" s="23">
        <v>1.1900000000000001E-2</v>
      </c>
      <c r="E226" s="20">
        <v>1</v>
      </c>
      <c r="F226" s="36" t="s">
        <v>101</v>
      </c>
      <c r="G226" s="20"/>
      <c r="H226" s="37">
        <v>1</v>
      </c>
      <c r="I226" s="8">
        <f t="shared" si="40"/>
        <v>417079.52403640002</v>
      </c>
      <c r="J226" s="8">
        <f t="shared" si="41"/>
        <v>418321.81394539995</v>
      </c>
      <c r="K226" s="22">
        <f t="shared" si="42"/>
        <v>418321.81394539995</v>
      </c>
    </row>
    <row r="227" spans="1:12" x14ac:dyDescent="0.25">
      <c r="A227" s="24" t="s">
        <v>40</v>
      </c>
      <c r="B227" s="139">
        <v>24277.7</v>
      </c>
      <c r="C227" s="20">
        <v>29.17</v>
      </c>
      <c r="D227" s="23">
        <v>6.8999999999999999E-3</v>
      </c>
      <c r="E227" s="20">
        <v>1</v>
      </c>
      <c r="F227" s="36" t="s">
        <v>101</v>
      </c>
      <c r="G227" s="20"/>
      <c r="H227" s="37">
        <v>1</v>
      </c>
      <c r="I227" s="8">
        <f t="shared" si="40"/>
        <v>707691.86444879009</v>
      </c>
      <c r="J227" s="8">
        <f t="shared" si="41"/>
        <v>708913.475826815</v>
      </c>
      <c r="K227" s="22">
        <f t="shared" si="42"/>
        <v>708913.475826815</v>
      </c>
    </row>
    <row r="228" spans="1:12" x14ac:dyDescent="0.25">
      <c r="A228" s="19" t="s">
        <v>41</v>
      </c>
      <c r="B228" s="32">
        <v>13922.58</v>
      </c>
      <c r="C228" s="20">
        <v>8.57</v>
      </c>
      <c r="D228" s="25">
        <v>0.15079999999999999</v>
      </c>
      <c r="E228" s="20">
        <v>1</v>
      </c>
      <c r="F228" s="36" t="s">
        <v>102</v>
      </c>
      <c r="G228" s="20"/>
      <c r="H228" s="37">
        <v>1</v>
      </c>
      <c r="I228" s="8">
        <f t="shared" si="40"/>
        <v>117517.21762015201</v>
      </c>
      <c r="J228" s="8">
        <f t="shared" si="41"/>
        <v>122015.45006977199</v>
      </c>
      <c r="K228" s="22">
        <f t="shared" ref="K228:K233" si="43">B228*C228*((1-D228)+D228*E228*1.2405*1)+0</f>
        <v>123643.81021653443</v>
      </c>
    </row>
    <row r="229" spans="1:12" x14ac:dyDescent="0.25">
      <c r="A229" s="7" t="s">
        <v>42</v>
      </c>
      <c r="B229" s="32">
        <v>13922.58</v>
      </c>
      <c r="C229" s="20">
        <v>9.65</v>
      </c>
      <c r="D229" s="25">
        <v>0.14910000000000001</v>
      </c>
      <c r="E229" s="20">
        <v>1</v>
      </c>
      <c r="F229" s="36" t="s">
        <v>102</v>
      </c>
      <c r="G229" s="20"/>
      <c r="H229" s="37">
        <v>1</v>
      </c>
      <c r="I229" s="8">
        <f t="shared" si="40"/>
        <v>132349.69530573001</v>
      </c>
      <c r="J229" s="8">
        <f t="shared" si="41"/>
        <v>137357.69954140499</v>
      </c>
      <c r="K229" s="22">
        <f t="shared" si="43"/>
        <v>139170.59707471935</v>
      </c>
    </row>
    <row r="230" spans="1:12" x14ac:dyDescent="0.25">
      <c r="A230" s="7" t="s">
        <v>43</v>
      </c>
      <c r="B230" s="32">
        <v>13922.58</v>
      </c>
      <c r="C230" s="20">
        <v>13.5</v>
      </c>
      <c r="D230" s="25">
        <v>9.9900000000000003E-2</v>
      </c>
      <c r="E230" s="20">
        <v>1</v>
      </c>
      <c r="F230" s="36" t="s">
        <v>102</v>
      </c>
      <c r="G230" s="20"/>
      <c r="H230" s="37">
        <v>1</v>
      </c>
      <c r="I230" s="8">
        <f t="shared" si="40"/>
        <v>186077.16124829999</v>
      </c>
      <c r="J230" s="8">
        <f t="shared" si="41"/>
        <v>190771.33312754999</v>
      </c>
      <c r="K230" s="22">
        <f t="shared" si="43"/>
        <v>192470.62334783847</v>
      </c>
    </row>
    <row r="231" spans="1:12" x14ac:dyDescent="0.25">
      <c r="A231" s="7" t="s">
        <v>44</v>
      </c>
      <c r="B231" s="32">
        <v>13922.58</v>
      </c>
      <c r="C231" s="20">
        <v>16.03</v>
      </c>
      <c r="D231" s="25">
        <v>8.4900000000000003E-2</v>
      </c>
      <c r="E231" s="20">
        <v>1</v>
      </c>
      <c r="F231" s="36" t="s">
        <v>102</v>
      </c>
      <c r="G231" s="7"/>
      <c r="H231" s="37">
        <v>1</v>
      </c>
      <c r="I231" s="8">
        <f t="shared" si="40"/>
        <v>221284.168051674</v>
      </c>
      <c r="J231" s="8">
        <f t="shared" si="41"/>
        <v>226021.14142248899</v>
      </c>
      <c r="K231" s="22">
        <f t="shared" si="43"/>
        <v>227735.92578272405</v>
      </c>
    </row>
    <row r="232" spans="1:12" x14ac:dyDescent="0.25">
      <c r="A232" s="24" t="s">
        <v>45</v>
      </c>
      <c r="B232" s="32">
        <v>13922.58</v>
      </c>
      <c r="C232" s="20">
        <v>27.22</v>
      </c>
      <c r="D232" s="25">
        <v>2.8199999999999999E-2</v>
      </c>
      <c r="E232" s="20">
        <v>1</v>
      </c>
      <c r="F232" s="36" t="s">
        <v>102</v>
      </c>
      <c r="G232" s="7"/>
      <c r="H232" s="37">
        <v>1</v>
      </c>
      <c r="I232" s="8">
        <f t="shared" si="40"/>
        <v>377903.92479016801</v>
      </c>
      <c r="J232" s="8">
        <f t="shared" si="41"/>
        <v>380575.68181474798</v>
      </c>
      <c r="K232" s="22">
        <f t="shared" si="43"/>
        <v>381542.85785764595</v>
      </c>
    </row>
    <row r="233" spans="1:12" ht="15.75" thickBot="1" x14ac:dyDescent="0.3">
      <c r="A233" s="24" t="s">
        <v>46</v>
      </c>
      <c r="B233" s="32">
        <v>13922.58</v>
      </c>
      <c r="C233" s="20">
        <v>56.65</v>
      </c>
      <c r="D233" s="25">
        <v>2.3E-3</v>
      </c>
      <c r="E233" s="20">
        <v>1</v>
      </c>
      <c r="F233" s="36" t="s">
        <v>102</v>
      </c>
      <c r="G233" s="7"/>
      <c r="H233" s="37">
        <v>1</v>
      </c>
      <c r="I233" s="8">
        <f t="shared" si="40"/>
        <v>788532.75274389004</v>
      </c>
      <c r="J233" s="8">
        <f t="shared" si="41"/>
        <v>788986.26338416501</v>
      </c>
      <c r="K233" s="22">
        <f t="shared" si="43"/>
        <v>789150.43423594453</v>
      </c>
    </row>
    <row r="234" spans="1:12" ht="19.5" thickBot="1" x14ac:dyDescent="0.35">
      <c r="A234" s="185" t="s">
        <v>103</v>
      </c>
      <c r="B234" s="186"/>
      <c r="C234" s="186"/>
      <c r="D234" s="186"/>
      <c r="E234" s="186"/>
      <c r="F234" s="186"/>
      <c r="G234" s="186"/>
      <c r="H234" s="186"/>
      <c r="I234" s="186"/>
      <c r="J234" s="186"/>
      <c r="K234" s="187"/>
      <c r="L234" t="s">
        <v>104</v>
      </c>
    </row>
    <row r="235" spans="1:12" x14ac:dyDescent="0.25">
      <c r="A235" s="178"/>
      <c r="B235" s="180" t="s">
        <v>10</v>
      </c>
      <c r="C235" s="180" t="s">
        <v>11</v>
      </c>
      <c r="D235" s="180" t="s">
        <v>12</v>
      </c>
      <c r="E235" s="179" t="s">
        <v>13</v>
      </c>
      <c r="F235" s="179"/>
      <c r="G235" s="179"/>
      <c r="H235" s="182" t="s">
        <v>14</v>
      </c>
      <c r="I235" s="182" t="s">
        <v>15</v>
      </c>
      <c r="J235" s="188" t="s">
        <v>105</v>
      </c>
      <c r="K235" s="182" t="s">
        <v>17</v>
      </c>
    </row>
    <row r="236" spans="1:12" ht="90" x14ac:dyDescent="0.25">
      <c r="A236" s="179"/>
      <c r="B236" s="181"/>
      <c r="C236" s="181"/>
      <c r="D236" s="181"/>
      <c r="E236" s="5" t="s">
        <v>51</v>
      </c>
      <c r="F236" s="5" t="s">
        <v>76</v>
      </c>
      <c r="G236" s="5" t="s">
        <v>20</v>
      </c>
      <c r="H236" s="183"/>
      <c r="I236" s="183"/>
      <c r="J236" s="182"/>
      <c r="K236" s="183"/>
    </row>
    <row r="237" spans="1:12" x14ac:dyDescent="0.25">
      <c r="A237" s="7" t="s">
        <v>21</v>
      </c>
      <c r="B237" s="8">
        <v>23456.240000000002</v>
      </c>
      <c r="C237" s="8">
        <v>4.2300000000000004</v>
      </c>
      <c r="D237" s="8">
        <v>17.54</v>
      </c>
      <c r="E237" s="10">
        <v>1</v>
      </c>
      <c r="F237" s="11" t="s">
        <v>106</v>
      </c>
      <c r="G237" s="11"/>
      <c r="H237" s="10">
        <v>1</v>
      </c>
      <c r="I237" s="9">
        <f>B237*C237*((1-D237/100)+D237/100*0.9*1)</f>
        <v>97479.578238192014</v>
      </c>
      <c r="J237" s="9">
        <f>B237*C237*((1-D237/100)+D237/100*1.12*1)</f>
        <v>101308.27555416961</v>
      </c>
      <c r="K237" s="12">
        <f>B237*C237*((1-D237/100)+D237/100*1*1.12)</f>
        <v>101308.27555416961</v>
      </c>
    </row>
    <row r="238" spans="1:12" x14ac:dyDescent="0.25">
      <c r="A238" s="7" t="s">
        <v>23</v>
      </c>
      <c r="B238" s="8">
        <v>23456.240000000002</v>
      </c>
      <c r="C238" s="8">
        <v>8.49</v>
      </c>
      <c r="D238" s="8">
        <v>7.19</v>
      </c>
      <c r="E238" s="10">
        <v>1</v>
      </c>
      <c r="F238" s="11" t="s">
        <v>106</v>
      </c>
      <c r="G238" s="11"/>
      <c r="H238" s="10">
        <v>1</v>
      </c>
      <c r="I238" s="9">
        <f>B238*C238*((1-D238/100)+D238/100*0.9*1)</f>
        <v>197711.63599605602</v>
      </c>
      <c r="J238" s="9">
        <f>B238*C238*((1-D238/100)+D238/100*1.12*1)</f>
        <v>200861.68752473284</v>
      </c>
      <c r="K238" s="12">
        <f>B238*C238*((1-D238/100)+D238/100*1*1.12)</f>
        <v>200861.68752473284</v>
      </c>
    </row>
    <row r="239" spans="1:12" x14ac:dyDescent="0.25">
      <c r="A239" s="7" t="s">
        <v>24</v>
      </c>
      <c r="B239" s="8">
        <v>23456.240000000002</v>
      </c>
      <c r="C239" s="8">
        <v>13.38</v>
      </c>
      <c r="D239" s="8">
        <v>1.89</v>
      </c>
      <c r="E239" s="10">
        <v>1</v>
      </c>
      <c r="F239" s="11" t="s">
        <v>106</v>
      </c>
      <c r="G239" s="11"/>
      <c r="H239" s="10">
        <v>1</v>
      </c>
      <c r="I239" s="9">
        <f>B239*C239*((1-D239/100)+D239/100*0.9*1)</f>
        <v>313251.325111632</v>
      </c>
      <c r="J239" s="9">
        <f>B239*C239*((1-D239/100)+D239/100*1.12*1)</f>
        <v>314556.29050604161</v>
      </c>
      <c r="K239" s="12">
        <f>B239*C239*((1-D239/100)+D239/100*1*1.12)</f>
        <v>314556.29050604161</v>
      </c>
    </row>
    <row r="240" spans="1:12" x14ac:dyDescent="0.25">
      <c r="A240" s="7" t="s">
        <v>26</v>
      </c>
      <c r="B240" s="8">
        <v>23456.240000000002</v>
      </c>
      <c r="C240" s="8">
        <v>17.89</v>
      </c>
      <c r="D240" s="8">
        <v>2.44</v>
      </c>
      <c r="E240" s="10">
        <v>1</v>
      </c>
      <c r="F240" s="11" t="s">
        <v>106</v>
      </c>
      <c r="G240" s="11"/>
      <c r="H240" s="10">
        <v>1</v>
      </c>
      <c r="I240" s="9">
        <f>B240*C240*((1-D240/100)+D240/100*0.9*1)</f>
        <v>418608.23119401606</v>
      </c>
      <c r="J240" s="9">
        <f>B240*C240*((1-D240/100)+D240/100*1.12*1)</f>
        <v>420860.81648718088</v>
      </c>
      <c r="K240" s="12">
        <f>B240*C240*((1-D240/100)+D240/100*1*1.12)</f>
        <v>420860.81648718088</v>
      </c>
    </row>
    <row r="241" spans="1:12" x14ac:dyDescent="0.25">
      <c r="A241" s="7" t="s">
        <v>27</v>
      </c>
      <c r="B241" s="8">
        <v>23456.240000000002</v>
      </c>
      <c r="C241" s="8">
        <v>34.58</v>
      </c>
      <c r="D241" s="8">
        <v>0.73</v>
      </c>
      <c r="E241" s="10">
        <v>1</v>
      </c>
      <c r="F241" s="11" t="s">
        <v>106</v>
      </c>
      <c r="G241" s="11"/>
      <c r="H241" s="10">
        <v>1</v>
      </c>
      <c r="I241" s="9">
        <f>B241*C241*((1-D241/100)+D241/100*0.9*1)</f>
        <v>810524.66395118402</v>
      </c>
      <c r="J241" s="9">
        <f>B241*C241*((1-D241/100)+D241/100*1.12*1)</f>
        <v>811827.31749857927</v>
      </c>
      <c r="K241" s="12">
        <f>B241*C241*((1-D241/100)+D241/100*1*1.12)</f>
        <v>811827.31749857927</v>
      </c>
    </row>
    <row r="242" spans="1:12" x14ac:dyDescent="0.25">
      <c r="A242" s="7" t="s">
        <v>28</v>
      </c>
      <c r="B242" s="8">
        <v>13468.02</v>
      </c>
      <c r="C242" s="8">
        <v>7.73</v>
      </c>
      <c r="D242" s="8">
        <v>3.76</v>
      </c>
      <c r="E242" s="10">
        <v>1</v>
      </c>
      <c r="F242" s="10">
        <v>1</v>
      </c>
      <c r="G242" s="11"/>
      <c r="H242" s="10">
        <v>1</v>
      </c>
      <c r="I242" s="9">
        <f>B242*C242*((1-D242/100)+D242/100*1*1)</f>
        <v>104107.79460000001</v>
      </c>
      <c r="J242" s="9">
        <f>B242*C242*((1-D242/100)+D242/100*1*1)</f>
        <v>104107.79460000001</v>
      </c>
      <c r="K242" s="12">
        <f>B242*C242*((1-D242/100)+D242/100*1*1)</f>
        <v>104107.79460000001</v>
      </c>
    </row>
    <row r="243" spans="1:12" x14ac:dyDescent="0.25">
      <c r="A243" s="7" t="s">
        <v>29</v>
      </c>
      <c r="B243" s="8">
        <v>13468.02</v>
      </c>
      <c r="C243" s="8">
        <v>11.25</v>
      </c>
      <c r="D243" s="8">
        <v>6.78</v>
      </c>
      <c r="E243" s="10">
        <v>1</v>
      </c>
      <c r="F243" s="10">
        <v>1</v>
      </c>
      <c r="G243" s="11"/>
      <c r="H243" s="10">
        <v>1</v>
      </c>
      <c r="I243" s="9">
        <f>B243*C243*((1-D243/100)+D243/100*1*1)</f>
        <v>151515.22500000001</v>
      </c>
      <c r="J243" s="9">
        <f>B243*C243*((1-D243/100)+D243/100*1*1)</f>
        <v>151515.22500000001</v>
      </c>
      <c r="K243" s="12">
        <f>B243*C243*((1-D243/100)+D243/100*1*1)</f>
        <v>151515.22500000001</v>
      </c>
    </row>
    <row r="244" spans="1:12" x14ac:dyDescent="0.25">
      <c r="A244" s="7" t="s">
        <v>30</v>
      </c>
      <c r="B244" s="8">
        <v>13468.02</v>
      </c>
      <c r="C244" s="8">
        <v>15.26</v>
      </c>
      <c r="D244" s="8">
        <v>0.43</v>
      </c>
      <c r="E244" s="10">
        <v>1</v>
      </c>
      <c r="F244" s="10">
        <v>1</v>
      </c>
      <c r="G244" s="11"/>
      <c r="H244" s="10">
        <v>1</v>
      </c>
      <c r="I244" s="9">
        <f>B244*C244*((1-D244/100)+D244/100*1*1)</f>
        <v>205521.9852</v>
      </c>
      <c r="J244" s="9">
        <f>B244*C244*((1-D244/100)+D244/100*1*1)</f>
        <v>205521.9852</v>
      </c>
      <c r="K244" s="12">
        <f>B244*C244*((1-D244/100)+D244/100*1*1)</f>
        <v>205521.9852</v>
      </c>
    </row>
    <row r="245" spans="1:12" x14ac:dyDescent="0.25">
      <c r="A245" s="7" t="s">
        <v>31</v>
      </c>
      <c r="B245" s="8">
        <v>13468.02</v>
      </c>
      <c r="C245" s="8">
        <v>23.85</v>
      </c>
      <c r="D245" s="8">
        <v>0.32</v>
      </c>
      <c r="E245" s="10">
        <v>1</v>
      </c>
      <c r="F245" s="10">
        <v>1</v>
      </c>
      <c r="G245" s="11"/>
      <c r="H245" s="10">
        <v>1</v>
      </c>
      <c r="I245" s="9">
        <f>B245*C245*((1-D245/100)+D245/100*1*1)</f>
        <v>321212.277</v>
      </c>
      <c r="J245" s="9">
        <f>B245*C245*((1-D245/100)+D245/100*1*1)</f>
        <v>321212.277</v>
      </c>
      <c r="K245" s="12">
        <f>B245*C245*((1-D245/100)+D245/100*1*1)</f>
        <v>321212.277</v>
      </c>
    </row>
    <row r="246" spans="1:12" ht="15.75" thickBot="1" x14ac:dyDescent="0.3">
      <c r="A246" s="13" t="s">
        <v>32</v>
      </c>
      <c r="B246" s="14">
        <v>13468.02</v>
      </c>
      <c r="C246" s="14">
        <v>35.24</v>
      </c>
      <c r="D246" s="14">
        <v>0.67</v>
      </c>
      <c r="E246" s="16">
        <v>1</v>
      </c>
      <c r="F246" s="16">
        <v>1</v>
      </c>
      <c r="G246" s="17"/>
      <c r="H246" s="16">
        <v>1</v>
      </c>
      <c r="I246" s="15">
        <f>B246*C246*((1-D246/100)+D246/100*1*1)</f>
        <v>474613.02480000001</v>
      </c>
      <c r="J246" s="15">
        <f>B246*C246*((1-D246/100)+D246/100*1*1)</f>
        <v>474613.02480000001</v>
      </c>
      <c r="K246" s="18">
        <f>B246*C246*((1-D246/100)+D246/100*1*1)</f>
        <v>474613.02480000001</v>
      </c>
    </row>
    <row r="247" spans="1:12" ht="19.5" thickBot="1" x14ac:dyDescent="0.35">
      <c r="A247" s="175" t="s">
        <v>107</v>
      </c>
      <c r="B247" s="176"/>
      <c r="C247" s="176"/>
      <c r="D247" s="176"/>
      <c r="E247" s="176"/>
      <c r="F247" s="176"/>
      <c r="G247" s="176"/>
      <c r="H247" s="176"/>
      <c r="I247" s="176"/>
      <c r="J247" s="176"/>
      <c r="K247" s="177"/>
      <c r="L247" t="s">
        <v>104</v>
      </c>
    </row>
    <row r="248" spans="1:12" x14ac:dyDescent="0.25">
      <c r="A248" s="178"/>
      <c r="B248" s="180" t="s">
        <v>10</v>
      </c>
      <c r="C248" s="180" t="s">
        <v>11</v>
      </c>
      <c r="D248" s="180" t="s">
        <v>12</v>
      </c>
      <c r="E248" s="179" t="s">
        <v>13</v>
      </c>
      <c r="F248" s="179"/>
      <c r="G248" s="179"/>
      <c r="H248" s="182" t="s">
        <v>14</v>
      </c>
      <c r="I248" s="182" t="s">
        <v>15</v>
      </c>
      <c r="J248" s="184" t="s">
        <v>105</v>
      </c>
      <c r="K248" s="182" t="s">
        <v>17</v>
      </c>
    </row>
    <row r="249" spans="1:12" ht="90" x14ac:dyDescent="0.25">
      <c r="A249" s="179"/>
      <c r="B249" s="181"/>
      <c r="C249" s="181"/>
      <c r="D249" s="181"/>
      <c r="E249" s="5" t="s">
        <v>51</v>
      </c>
      <c r="F249" s="5" t="s">
        <v>76</v>
      </c>
      <c r="G249" s="5" t="s">
        <v>20</v>
      </c>
      <c r="H249" s="183"/>
      <c r="I249" s="183"/>
      <c r="J249" s="182"/>
      <c r="K249" s="183"/>
    </row>
    <row r="250" spans="1:12" x14ac:dyDescent="0.25">
      <c r="A250" s="19" t="s">
        <v>34</v>
      </c>
      <c r="B250" s="8">
        <v>24255.4</v>
      </c>
      <c r="C250" s="20">
        <v>4.88</v>
      </c>
      <c r="D250" s="21">
        <v>5.8400000000000001E-2</v>
      </c>
      <c r="E250" s="20">
        <v>1</v>
      </c>
      <c r="F250" s="11" t="s">
        <v>106</v>
      </c>
      <c r="G250" s="20"/>
      <c r="H250" s="20">
        <v>1</v>
      </c>
      <c r="I250" s="8">
        <f t="shared" ref="I250:I255" si="44">B250*C250*((1-D250)+D250*E250*0.9*1)+0</f>
        <v>117675.09250432001</v>
      </c>
      <c r="J250" s="8">
        <f t="shared" ref="J250:J255" si="45">B250*C250*((1-D250)+D250*E250*1.12*1)+0</f>
        <v>119195.86339481598</v>
      </c>
      <c r="K250" s="22">
        <f t="shared" ref="K250:K255" si="46">B250*C250*((1-D250)+D250*E250*1.12*1)+0</f>
        <v>119195.86339481598</v>
      </c>
    </row>
    <row r="251" spans="1:12" x14ac:dyDescent="0.25">
      <c r="A251" s="19" t="s">
        <v>36</v>
      </c>
      <c r="B251" s="8">
        <v>24255.4</v>
      </c>
      <c r="C251" s="20">
        <v>8.07</v>
      </c>
      <c r="D251" s="23">
        <v>3.32E-2</v>
      </c>
      <c r="E251" s="20">
        <v>1</v>
      </c>
      <c r="F251" s="11" t="s">
        <v>106</v>
      </c>
      <c r="G251" s="20"/>
      <c r="H251" s="20">
        <v>1</v>
      </c>
      <c r="I251" s="8">
        <f t="shared" si="44"/>
        <v>195091.21762104001</v>
      </c>
      <c r="J251" s="8">
        <f t="shared" si="45"/>
        <v>196520.91045475201</v>
      </c>
      <c r="K251" s="22">
        <f t="shared" si="46"/>
        <v>196520.91045475201</v>
      </c>
    </row>
    <row r="252" spans="1:12" x14ac:dyDescent="0.25">
      <c r="A252" s="24" t="s">
        <v>37</v>
      </c>
      <c r="B252" s="8">
        <v>24255.4</v>
      </c>
      <c r="C252" s="20">
        <v>10.11</v>
      </c>
      <c r="D252" s="23">
        <v>2.1499999999999998E-2</v>
      </c>
      <c r="E252" s="20">
        <v>1</v>
      </c>
      <c r="F252" s="11" t="s">
        <v>106</v>
      </c>
      <c r="G252" s="20"/>
      <c r="H252" s="20">
        <v>1</v>
      </c>
      <c r="I252" s="8">
        <f t="shared" si="44"/>
        <v>244694.86649790002</v>
      </c>
      <c r="J252" s="8">
        <f t="shared" si="45"/>
        <v>245854.76700252001</v>
      </c>
      <c r="K252" s="22">
        <f t="shared" si="46"/>
        <v>245854.76700252001</v>
      </c>
    </row>
    <row r="253" spans="1:12" x14ac:dyDescent="0.25">
      <c r="A253" s="24" t="s">
        <v>38</v>
      </c>
      <c r="B253" s="8">
        <v>24255.4</v>
      </c>
      <c r="C253" s="20">
        <v>13.86</v>
      </c>
      <c r="D253" s="23">
        <v>1.55E-2</v>
      </c>
      <c r="E253" s="20">
        <v>1</v>
      </c>
      <c r="F253" s="11" t="s">
        <v>106</v>
      </c>
      <c r="G253" s="20"/>
      <c r="H253" s="20">
        <v>1</v>
      </c>
      <c r="I253" s="8">
        <f t="shared" si="44"/>
        <v>335658.76524179999</v>
      </c>
      <c r="J253" s="8">
        <f t="shared" si="45"/>
        <v>336805.13850983995</v>
      </c>
      <c r="K253" s="22">
        <f t="shared" si="46"/>
        <v>336805.13850983995</v>
      </c>
    </row>
    <row r="254" spans="1:12" x14ac:dyDescent="0.25">
      <c r="A254" s="24" t="s">
        <v>39</v>
      </c>
      <c r="B254" s="8">
        <v>24255.4</v>
      </c>
      <c r="C254" s="20">
        <v>17.2</v>
      </c>
      <c r="D254" s="23">
        <v>1.1900000000000001E-2</v>
      </c>
      <c r="E254" s="20">
        <v>1</v>
      </c>
      <c r="F254" s="11" t="s">
        <v>106</v>
      </c>
      <c r="G254" s="20"/>
      <c r="H254" s="20">
        <v>1</v>
      </c>
      <c r="I254" s="8">
        <f t="shared" si="44"/>
        <v>416696.42047279997</v>
      </c>
      <c r="J254" s="8">
        <f t="shared" si="45"/>
        <v>417788.63143264002</v>
      </c>
      <c r="K254" s="22">
        <f t="shared" si="46"/>
        <v>417788.63143264002</v>
      </c>
    </row>
    <row r="255" spans="1:12" x14ac:dyDescent="0.25">
      <c r="A255" s="24" t="s">
        <v>40</v>
      </c>
      <c r="B255" s="8">
        <v>24255.4</v>
      </c>
      <c r="C255" s="20">
        <v>29.17</v>
      </c>
      <c r="D255" s="23">
        <v>6.8999999999999999E-3</v>
      </c>
      <c r="E255" s="20">
        <v>1</v>
      </c>
      <c r="F255" s="11" t="s">
        <v>106</v>
      </c>
      <c r="G255" s="20"/>
      <c r="H255" s="20">
        <v>1</v>
      </c>
      <c r="I255" s="8">
        <f t="shared" si="44"/>
        <v>707041.82228758011</v>
      </c>
      <c r="J255" s="8">
        <f t="shared" si="45"/>
        <v>708115.85285490402</v>
      </c>
      <c r="K255" s="22">
        <f t="shared" si="46"/>
        <v>708115.85285490402</v>
      </c>
    </row>
    <row r="256" spans="1:12" x14ac:dyDescent="0.25">
      <c r="A256" s="19" t="s">
        <v>41</v>
      </c>
      <c r="B256" s="8">
        <v>13915.62</v>
      </c>
      <c r="C256" s="20">
        <v>8.57</v>
      </c>
      <c r="D256" s="25">
        <v>0.15079999999999999</v>
      </c>
      <c r="E256" s="20">
        <v>1</v>
      </c>
      <c r="F256" s="20">
        <v>1</v>
      </c>
      <c r="G256" s="20"/>
      <c r="H256" s="20">
        <v>1</v>
      </c>
      <c r="I256" s="8">
        <f t="shared" ref="I256:I261" si="47">B256*C256*((1-D256)+D256*E256*1*1)+0</f>
        <v>119256.86340000002</v>
      </c>
      <c r="J256" s="8">
        <f t="shared" ref="J256:J261" si="48">B256*C256*((1-D256)+D256*E256*1*1)+0</f>
        <v>119256.86340000002</v>
      </c>
      <c r="K256" s="22">
        <f t="shared" ref="K256:K261" si="49">B256*C256*((1-D256)+D256*E256*1*1)+0</f>
        <v>119256.86340000002</v>
      </c>
    </row>
    <row r="257" spans="1:11" x14ac:dyDescent="0.25">
      <c r="A257" s="7" t="s">
        <v>42</v>
      </c>
      <c r="B257" s="8">
        <v>13915.62</v>
      </c>
      <c r="C257" s="20">
        <v>9.65</v>
      </c>
      <c r="D257" s="25">
        <v>0.14910000000000001</v>
      </c>
      <c r="E257" s="20">
        <v>1</v>
      </c>
      <c r="F257" s="20">
        <v>1</v>
      </c>
      <c r="G257" s="20"/>
      <c r="H257" s="20">
        <v>1</v>
      </c>
      <c r="I257" s="8">
        <f t="shared" si="47"/>
        <v>134285.73300000001</v>
      </c>
      <c r="J257" s="8">
        <f t="shared" si="48"/>
        <v>134285.73300000001</v>
      </c>
      <c r="K257" s="22">
        <f t="shared" si="49"/>
        <v>134285.73300000001</v>
      </c>
    </row>
    <row r="258" spans="1:11" x14ac:dyDescent="0.25">
      <c r="A258" s="7" t="s">
        <v>43</v>
      </c>
      <c r="B258" s="8">
        <v>13915.62</v>
      </c>
      <c r="C258" s="20">
        <v>13.5</v>
      </c>
      <c r="D258" s="25">
        <v>9.9900000000000003E-2</v>
      </c>
      <c r="E258" s="20">
        <v>1</v>
      </c>
      <c r="F258" s="20">
        <v>1</v>
      </c>
      <c r="G258" s="20"/>
      <c r="H258" s="20">
        <v>1</v>
      </c>
      <c r="I258" s="8">
        <f t="shared" si="47"/>
        <v>187860.87000000002</v>
      </c>
      <c r="J258" s="8">
        <f t="shared" si="48"/>
        <v>187860.87000000002</v>
      </c>
      <c r="K258" s="22">
        <f t="shared" si="49"/>
        <v>187860.87000000002</v>
      </c>
    </row>
    <row r="259" spans="1:11" x14ac:dyDescent="0.25">
      <c r="A259" s="7" t="s">
        <v>44</v>
      </c>
      <c r="B259" s="8">
        <v>13915.62</v>
      </c>
      <c r="C259" s="20">
        <v>16.03</v>
      </c>
      <c r="D259" s="25">
        <v>8.4900000000000003E-2</v>
      </c>
      <c r="E259" s="20">
        <v>1</v>
      </c>
      <c r="F259" s="20">
        <v>1</v>
      </c>
      <c r="G259" s="7"/>
      <c r="H259" s="20">
        <v>1</v>
      </c>
      <c r="I259" s="8">
        <f t="shared" si="47"/>
        <v>223067.38860000003</v>
      </c>
      <c r="J259" s="8">
        <f t="shared" si="48"/>
        <v>223067.38860000003</v>
      </c>
      <c r="K259" s="22">
        <f t="shared" si="49"/>
        <v>223067.38860000003</v>
      </c>
    </row>
    <row r="260" spans="1:11" x14ac:dyDescent="0.25">
      <c r="A260" s="24" t="s">
        <v>45</v>
      </c>
      <c r="B260" s="8">
        <v>13915.62</v>
      </c>
      <c r="C260" s="20">
        <v>27.22</v>
      </c>
      <c r="D260" s="25">
        <v>2.8199999999999999E-2</v>
      </c>
      <c r="E260" s="20">
        <v>1</v>
      </c>
      <c r="F260" s="20">
        <v>1</v>
      </c>
      <c r="G260" s="7"/>
      <c r="H260" s="20">
        <v>1</v>
      </c>
      <c r="I260" s="8">
        <f t="shared" si="47"/>
        <v>378783.1764</v>
      </c>
      <c r="J260" s="8">
        <f t="shared" si="48"/>
        <v>378783.1764</v>
      </c>
      <c r="K260" s="22">
        <f t="shared" si="49"/>
        <v>378783.1764</v>
      </c>
    </row>
    <row r="261" spans="1:11" x14ac:dyDescent="0.25">
      <c r="A261" s="24" t="s">
        <v>46</v>
      </c>
      <c r="B261" s="8">
        <v>13915.62</v>
      </c>
      <c r="C261" s="20">
        <v>56.65</v>
      </c>
      <c r="D261" s="25">
        <v>2.3E-3</v>
      </c>
      <c r="E261" s="20">
        <v>1</v>
      </c>
      <c r="F261" s="20">
        <v>1</v>
      </c>
      <c r="G261" s="7"/>
      <c r="H261" s="20">
        <v>1</v>
      </c>
      <c r="I261" s="8">
        <f t="shared" si="47"/>
        <v>788319.87300000002</v>
      </c>
      <c r="J261" s="8">
        <f t="shared" si="48"/>
        <v>788319.87300000002</v>
      </c>
      <c r="K261" s="22">
        <f t="shared" si="49"/>
        <v>788319.87300000002</v>
      </c>
    </row>
  </sheetData>
  <mergeCells count="180">
    <mergeCell ref="A10:K10"/>
    <mergeCell ref="A11:A12"/>
    <mergeCell ref="B11:B12"/>
    <mergeCell ref="C11:C12"/>
    <mergeCell ref="D11:D12"/>
    <mergeCell ref="E11:G11"/>
    <mergeCell ref="H11:H12"/>
    <mergeCell ref="I11:I12"/>
    <mergeCell ref="J11:J12"/>
    <mergeCell ref="K11:K12"/>
    <mergeCell ref="A23:K23"/>
    <mergeCell ref="A24:A25"/>
    <mergeCell ref="B24:B25"/>
    <mergeCell ref="C24:C25"/>
    <mergeCell ref="D24:D25"/>
    <mergeCell ref="E24:G24"/>
    <mergeCell ref="H24:H25"/>
    <mergeCell ref="I24:I25"/>
    <mergeCell ref="J24:J25"/>
    <mergeCell ref="K24:K25"/>
    <mergeCell ref="A38:K38"/>
    <mergeCell ref="A39:A40"/>
    <mergeCell ref="B39:B40"/>
    <mergeCell ref="C39:C40"/>
    <mergeCell ref="D39:D40"/>
    <mergeCell ref="E39:G39"/>
    <mergeCell ref="H39:H40"/>
    <mergeCell ref="I39:I40"/>
    <mergeCell ref="J39:J40"/>
    <mergeCell ref="K39:K40"/>
    <mergeCell ref="A51:K51"/>
    <mergeCell ref="A52:A53"/>
    <mergeCell ref="B52:B53"/>
    <mergeCell ref="C52:C53"/>
    <mergeCell ref="D52:D53"/>
    <mergeCell ref="E52:G52"/>
    <mergeCell ref="H52:H53"/>
    <mergeCell ref="I52:I53"/>
    <mergeCell ref="J52:J53"/>
    <mergeCell ref="K52:K53"/>
    <mergeCell ref="A66:K66"/>
    <mergeCell ref="A67:A68"/>
    <mergeCell ref="B67:B68"/>
    <mergeCell ref="C67:C68"/>
    <mergeCell ref="D67:D68"/>
    <mergeCell ref="E67:G67"/>
    <mergeCell ref="H67:H68"/>
    <mergeCell ref="I67:I68"/>
    <mergeCell ref="J67:J68"/>
    <mergeCell ref="K67:K68"/>
    <mergeCell ref="A79:K79"/>
    <mergeCell ref="A80:A81"/>
    <mergeCell ref="B80:B81"/>
    <mergeCell ref="C80:C81"/>
    <mergeCell ref="D80:D81"/>
    <mergeCell ref="E80:G80"/>
    <mergeCell ref="H80:H81"/>
    <mergeCell ref="I80:I81"/>
    <mergeCell ref="J80:J81"/>
    <mergeCell ref="K80:K81"/>
    <mergeCell ref="A94:K94"/>
    <mergeCell ref="A95:A96"/>
    <mergeCell ref="B95:B96"/>
    <mergeCell ref="C95:C96"/>
    <mergeCell ref="D95:D96"/>
    <mergeCell ref="E95:G95"/>
    <mergeCell ref="H95:H96"/>
    <mergeCell ref="I95:I96"/>
    <mergeCell ref="J95:J96"/>
    <mergeCell ref="K95:K96"/>
    <mergeCell ref="A107:K107"/>
    <mergeCell ref="A108:A109"/>
    <mergeCell ref="B108:B109"/>
    <mergeCell ref="C108:C109"/>
    <mergeCell ref="D108:D109"/>
    <mergeCell ref="E108:G108"/>
    <mergeCell ref="H108:H109"/>
    <mergeCell ref="I108:I109"/>
    <mergeCell ref="J108:J109"/>
    <mergeCell ref="K108:K109"/>
    <mergeCell ref="A122:K122"/>
    <mergeCell ref="A123:A124"/>
    <mergeCell ref="B123:B124"/>
    <mergeCell ref="C123:C124"/>
    <mergeCell ref="D123:D124"/>
    <mergeCell ref="E123:G123"/>
    <mergeCell ref="H123:H124"/>
    <mergeCell ref="I123:I124"/>
    <mergeCell ref="J123:J124"/>
    <mergeCell ref="K123:K124"/>
    <mergeCell ref="A135:K135"/>
    <mergeCell ref="A136:A137"/>
    <mergeCell ref="B136:B137"/>
    <mergeCell ref="C136:C137"/>
    <mergeCell ref="D136:D137"/>
    <mergeCell ref="E136:G136"/>
    <mergeCell ref="H136:H137"/>
    <mergeCell ref="I136:I137"/>
    <mergeCell ref="J136:J137"/>
    <mergeCell ref="K136:K137"/>
    <mergeCell ref="A150:K150"/>
    <mergeCell ref="A151:A152"/>
    <mergeCell ref="B151:B152"/>
    <mergeCell ref="C151:C152"/>
    <mergeCell ref="D151:D152"/>
    <mergeCell ref="E151:G151"/>
    <mergeCell ref="H151:H152"/>
    <mergeCell ref="I151:I152"/>
    <mergeCell ref="J151:J152"/>
    <mergeCell ref="K151:K152"/>
    <mergeCell ref="A163:K163"/>
    <mergeCell ref="A164:A165"/>
    <mergeCell ref="B164:B165"/>
    <mergeCell ref="C164:C165"/>
    <mergeCell ref="D164:D165"/>
    <mergeCell ref="E164:G164"/>
    <mergeCell ref="H164:H165"/>
    <mergeCell ref="I164:I165"/>
    <mergeCell ref="J164:J165"/>
    <mergeCell ref="K164:K165"/>
    <mergeCell ref="A178:K178"/>
    <mergeCell ref="A179:A180"/>
    <mergeCell ref="B179:B180"/>
    <mergeCell ref="C179:C180"/>
    <mergeCell ref="D179:D180"/>
    <mergeCell ref="E179:G179"/>
    <mergeCell ref="H179:H180"/>
    <mergeCell ref="I179:I180"/>
    <mergeCell ref="J179:J180"/>
    <mergeCell ref="K179:K180"/>
    <mergeCell ref="A191:K191"/>
    <mergeCell ref="A192:A193"/>
    <mergeCell ref="B192:B193"/>
    <mergeCell ref="C192:C193"/>
    <mergeCell ref="D192:D193"/>
    <mergeCell ref="E192:G192"/>
    <mergeCell ref="H192:H193"/>
    <mergeCell ref="I192:I193"/>
    <mergeCell ref="J192:J193"/>
    <mergeCell ref="K192:K193"/>
    <mergeCell ref="A206:K206"/>
    <mergeCell ref="A207:A208"/>
    <mergeCell ref="B207:B208"/>
    <mergeCell ref="C207:C208"/>
    <mergeCell ref="D207:D208"/>
    <mergeCell ref="E207:G207"/>
    <mergeCell ref="H207:H208"/>
    <mergeCell ref="I207:I208"/>
    <mergeCell ref="J207:J208"/>
    <mergeCell ref="K207:K208"/>
    <mergeCell ref="A219:K219"/>
    <mergeCell ref="A220:A221"/>
    <mergeCell ref="B220:B221"/>
    <mergeCell ref="C220:C221"/>
    <mergeCell ref="D220:D221"/>
    <mergeCell ref="E220:G220"/>
    <mergeCell ref="H220:H221"/>
    <mergeCell ref="I220:I221"/>
    <mergeCell ref="J220:J221"/>
    <mergeCell ref="K220:K221"/>
    <mergeCell ref="A234:K234"/>
    <mergeCell ref="A235:A236"/>
    <mergeCell ref="B235:B236"/>
    <mergeCell ref="C235:C236"/>
    <mergeCell ref="D235:D236"/>
    <mergeCell ref="E235:G235"/>
    <mergeCell ref="H235:H236"/>
    <mergeCell ref="I235:I236"/>
    <mergeCell ref="J235:J236"/>
    <mergeCell ref="K235:K236"/>
    <mergeCell ref="A247:K247"/>
    <mergeCell ref="A248:A249"/>
    <mergeCell ref="B248:B249"/>
    <mergeCell ref="C248:C249"/>
    <mergeCell ref="D248:D249"/>
    <mergeCell ref="E248:G248"/>
    <mergeCell ref="H248:H249"/>
    <mergeCell ref="I248:I249"/>
    <mergeCell ref="J248:J249"/>
    <mergeCell ref="K248:K249"/>
  </mergeCells>
  <pageMargins left="0.11811023622047245" right="0.11811023622047245" top="0.15748031496062992" bottom="0.15748031496062992" header="0.31496062992125984" footer="0.31496062992125984"/>
  <pageSetup paperSize="9" scale="2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57"/>
  <sheetViews>
    <sheetView topLeftCell="J9" workbookViewId="0">
      <selection activeCell="Q18" sqref="Q18"/>
    </sheetView>
  </sheetViews>
  <sheetFormatPr defaultRowHeight="15" x14ac:dyDescent="0.25"/>
  <cols>
    <col min="1" max="1" width="11" style="38" customWidth="1"/>
    <col min="2" max="2" width="16.85546875" style="38" hidden="1" customWidth="1"/>
    <col min="3" max="3" width="13.140625" style="38" hidden="1" customWidth="1"/>
    <col min="4" max="4" width="17.42578125" style="38" hidden="1" customWidth="1"/>
    <col min="5" max="5" width="19.7109375" style="38" hidden="1" customWidth="1"/>
    <col min="6" max="6" width="35.85546875" style="38" hidden="1" customWidth="1"/>
    <col min="7" max="7" width="19.85546875" style="38" hidden="1" customWidth="1"/>
    <col min="8" max="8" width="18.28515625" style="38" hidden="1" customWidth="1"/>
    <col min="9" max="9" width="19.42578125" style="38" hidden="1" customWidth="1"/>
    <col min="10" max="10" width="32.5703125" style="38" customWidth="1"/>
    <col min="11" max="11" width="13.42578125" style="38" hidden="1" customWidth="1"/>
    <col min="12" max="13" width="27.7109375" style="38" customWidth="1"/>
    <col min="14" max="14" width="10" style="38" customWidth="1"/>
    <col min="15" max="15" width="78" customWidth="1"/>
    <col min="16" max="16" width="12" customWidth="1"/>
    <col min="17" max="17" width="27" customWidth="1"/>
    <col min="18" max="18" width="0.28515625" hidden="1" customWidth="1"/>
    <col min="19" max="19" width="0.140625" hidden="1" customWidth="1"/>
    <col min="20" max="20" width="0.140625" customWidth="1"/>
    <col min="21" max="22" width="23.42578125" customWidth="1"/>
  </cols>
  <sheetData>
    <row r="1" spans="1:23" ht="19.5" hidden="1" thickBot="1" x14ac:dyDescent="0.35">
      <c r="A1" s="38" t="s">
        <v>108</v>
      </c>
      <c r="B1" s="39" t="s">
        <v>109</v>
      </c>
    </row>
    <row r="2" spans="1:23" ht="15.75" hidden="1" thickBot="1" x14ac:dyDescent="0.3">
      <c r="A2" s="38" t="s">
        <v>2</v>
      </c>
    </row>
    <row r="3" spans="1:23" ht="15.75" hidden="1" thickBot="1" x14ac:dyDescent="0.3">
      <c r="A3" s="38" t="s">
        <v>3</v>
      </c>
    </row>
    <row r="4" spans="1:23" ht="15.75" hidden="1" thickBot="1" x14ac:dyDescent="0.3">
      <c r="A4" s="38" t="s">
        <v>110</v>
      </c>
    </row>
    <row r="5" spans="1:23" ht="15.75" hidden="1" thickBot="1" x14ac:dyDescent="0.3">
      <c r="A5" s="38" t="s">
        <v>5</v>
      </c>
    </row>
    <row r="6" spans="1:23" ht="15.75" hidden="1" thickBot="1" x14ac:dyDescent="0.3">
      <c r="A6" s="38" t="s">
        <v>6</v>
      </c>
    </row>
    <row r="7" spans="1:23" ht="15.75" hidden="1" thickBot="1" x14ac:dyDescent="0.3">
      <c r="A7" s="38" t="s">
        <v>7</v>
      </c>
    </row>
    <row r="8" spans="1:23" ht="15.75" hidden="1" thickBot="1" x14ac:dyDescent="0.3"/>
    <row r="9" spans="1:23" ht="19.5" thickBot="1" x14ac:dyDescent="0.35">
      <c r="A9" s="232" t="s">
        <v>111</v>
      </c>
      <c r="B9" s="233"/>
      <c r="C9" s="233"/>
      <c r="D9" s="233"/>
      <c r="E9" s="233"/>
      <c r="F9" s="233"/>
      <c r="G9" s="233"/>
      <c r="H9" s="233"/>
      <c r="I9" s="233"/>
      <c r="J9" s="233"/>
      <c r="K9" s="234"/>
      <c r="L9" s="40"/>
      <c r="M9" s="40"/>
      <c r="N9" s="41"/>
      <c r="O9" s="42"/>
      <c r="P9" s="42"/>
      <c r="Q9" s="43"/>
      <c r="R9" s="44"/>
      <c r="S9" s="44"/>
      <c r="T9" s="44"/>
      <c r="V9" s="7"/>
    </row>
    <row r="10" spans="1:23" ht="15" customHeight="1" x14ac:dyDescent="0.25">
      <c r="A10" s="244" t="s">
        <v>112</v>
      </c>
      <c r="B10" s="182" t="s">
        <v>10</v>
      </c>
      <c r="C10" s="182" t="s">
        <v>11</v>
      </c>
      <c r="D10" s="182" t="s">
        <v>12</v>
      </c>
      <c r="E10" s="258" t="s">
        <v>13</v>
      </c>
      <c r="F10" s="258"/>
      <c r="G10" s="258"/>
      <c r="H10" s="182" t="s">
        <v>113</v>
      </c>
      <c r="I10" s="182" t="s">
        <v>15</v>
      </c>
      <c r="J10" s="183" t="s">
        <v>114</v>
      </c>
      <c r="K10" s="182" t="s">
        <v>17</v>
      </c>
      <c r="L10" s="188" t="s">
        <v>115</v>
      </c>
      <c r="M10" s="188" t="s">
        <v>116</v>
      </c>
      <c r="N10" s="227" t="s">
        <v>117</v>
      </c>
      <c r="O10" s="229" t="s">
        <v>118</v>
      </c>
      <c r="P10" s="229" t="s">
        <v>119</v>
      </c>
      <c r="Q10" s="218" t="s">
        <v>120</v>
      </c>
      <c r="R10" s="218" t="s">
        <v>121</v>
      </c>
      <c r="S10" s="255" t="s">
        <v>122</v>
      </c>
      <c r="T10" s="218" t="s">
        <v>123</v>
      </c>
      <c r="U10" s="256" t="s">
        <v>124</v>
      </c>
      <c r="V10" s="184" t="s">
        <v>125</v>
      </c>
      <c r="W10" t="s">
        <v>329</v>
      </c>
    </row>
    <row r="11" spans="1:23" ht="62.25" customHeight="1" x14ac:dyDescent="0.25">
      <c r="A11" s="227"/>
      <c r="B11" s="183"/>
      <c r="C11" s="183"/>
      <c r="D11" s="183"/>
      <c r="E11" s="5" t="s">
        <v>126</v>
      </c>
      <c r="F11" s="5" t="s">
        <v>127</v>
      </c>
      <c r="G11" s="5" t="s">
        <v>128</v>
      </c>
      <c r="H11" s="183"/>
      <c r="I11" s="183"/>
      <c r="J11" s="183"/>
      <c r="K11" s="183"/>
      <c r="L11" s="182"/>
      <c r="M11" s="182"/>
      <c r="N11" s="228"/>
      <c r="O11" s="230"/>
      <c r="P11" s="230"/>
      <c r="Q11" s="219"/>
      <c r="R11" s="219"/>
      <c r="S11" s="218"/>
      <c r="T11" s="219"/>
      <c r="U11" s="219"/>
      <c r="V11" s="182"/>
    </row>
    <row r="12" spans="1:23" x14ac:dyDescent="0.25">
      <c r="A12" s="45" t="s">
        <v>21</v>
      </c>
      <c r="B12" s="9">
        <v>23456.23</v>
      </c>
      <c r="C12" s="9">
        <v>4.2300000000000004</v>
      </c>
      <c r="D12" s="9">
        <v>17.54</v>
      </c>
      <c r="E12" s="10">
        <v>1</v>
      </c>
      <c r="F12" s="11" t="s">
        <v>22</v>
      </c>
      <c r="G12" s="11"/>
      <c r="H12" s="10">
        <v>1</v>
      </c>
      <c r="I12" s="9">
        <f>B12*C12*((1-D12/100)+D12/100*1*1)</f>
        <v>99219.852900000013</v>
      </c>
      <c r="J12" s="9">
        <f>B12*C12*((1-D12/100)+D12/100*1*1)</f>
        <v>99219.852900000013</v>
      </c>
      <c r="K12" s="30">
        <f>B12*C12*((1-D12/100)+D12/100*1*1.2)</f>
        <v>102700.48533973201</v>
      </c>
      <c r="L12" s="46" t="s">
        <v>34</v>
      </c>
      <c r="M12" s="47">
        <v>118366.352</v>
      </c>
      <c r="N12" s="48" t="s">
        <v>129</v>
      </c>
      <c r="O12" s="49" t="s">
        <v>130</v>
      </c>
      <c r="P12" s="7">
        <v>1</v>
      </c>
      <c r="Q12" s="8">
        <f>34868.64*3.75</f>
        <v>130757.4</v>
      </c>
      <c r="R12" s="8" t="e">
        <f>J12-#REF!</f>
        <v>#REF!</v>
      </c>
      <c r="S12" s="8">
        <v>17.54</v>
      </c>
      <c r="T12" s="8">
        <v>5.84</v>
      </c>
      <c r="U12" s="8">
        <f>J12-S12*J12/100</f>
        <v>81816.690701340005</v>
      </c>
      <c r="V12" s="50">
        <f>M12-T12*M12/100</f>
        <v>111453.75704319999</v>
      </c>
      <c r="W12" t="s">
        <v>131</v>
      </c>
    </row>
    <row r="13" spans="1:23" x14ac:dyDescent="0.25">
      <c r="A13" s="210" t="s">
        <v>23</v>
      </c>
      <c r="B13" s="9">
        <v>23456.23</v>
      </c>
      <c r="C13" s="9">
        <v>8.49</v>
      </c>
      <c r="D13" s="9">
        <v>7.19</v>
      </c>
      <c r="E13" s="10">
        <v>1</v>
      </c>
      <c r="F13" s="11" t="s">
        <v>22</v>
      </c>
      <c r="G13" s="11"/>
      <c r="H13" s="10">
        <v>1</v>
      </c>
      <c r="I13" s="9">
        <f>B13*C13*((1-D13/100)+D13/100*1*1)</f>
        <v>199143.3927</v>
      </c>
      <c r="J13" s="221">
        <f>B13*C13*((1-D13/100)+D13/100*1*1)</f>
        <v>199143.3927</v>
      </c>
      <c r="K13" s="30">
        <f t="shared" ref="K13:K19" si="0">B13*C13*((1-D13/100)+D13/100*1*1.2)</f>
        <v>202007.074687026</v>
      </c>
      <c r="L13" s="212" t="s">
        <v>36</v>
      </c>
      <c r="M13" s="212">
        <v>195741.07800000001</v>
      </c>
      <c r="N13" s="48" t="s">
        <v>132</v>
      </c>
      <c r="O13" s="49" t="s">
        <v>133</v>
      </c>
      <c r="P13" s="7">
        <v>1</v>
      </c>
      <c r="Q13" s="8">
        <f>8592.74*22.5</f>
        <v>193336.65</v>
      </c>
      <c r="R13" s="224" t="e">
        <f>J13-#REF!</f>
        <v>#REF!</v>
      </c>
      <c r="S13" s="224">
        <v>7.19</v>
      </c>
      <c r="T13" s="8">
        <v>3.32</v>
      </c>
      <c r="U13" s="257">
        <f>J13-S13*J13/100</f>
        <v>184824.98276486999</v>
      </c>
      <c r="V13" s="212">
        <f>M13-T13*M13/100</f>
        <v>189242.47421040002</v>
      </c>
      <c r="W13" t="s">
        <v>134</v>
      </c>
    </row>
    <row r="14" spans="1:23" x14ac:dyDescent="0.25">
      <c r="A14" s="216"/>
      <c r="B14" s="9"/>
      <c r="C14" s="9"/>
      <c r="D14" s="9"/>
      <c r="E14" s="10"/>
      <c r="F14" s="11"/>
      <c r="G14" s="11"/>
      <c r="H14" s="10"/>
      <c r="I14" s="9"/>
      <c r="J14" s="222"/>
      <c r="K14" s="30"/>
      <c r="L14" s="213"/>
      <c r="M14" s="213"/>
      <c r="N14" s="48" t="s">
        <v>135</v>
      </c>
      <c r="O14" s="49" t="s">
        <v>136</v>
      </c>
      <c r="P14" s="7">
        <v>1</v>
      </c>
      <c r="Q14" s="8">
        <f>8592.74*24</f>
        <v>206225.76</v>
      </c>
      <c r="R14" s="225"/>
      <c r="S14" s="225"/>
      <c r="T14" s="8">
        <v>3.32</v>
      </c>
      <c r="U14" s="257"/>
      <c r="V14" s="213"/>
      <c r="W14" t="s">
        <v>137</v>
      </c>
    </row>
    <row r="15" spans="1:23" x14ac:dyDescent="0.25">
      <c r="A15" s="211"/>
      <c r="B15" s="9"/>
      <c r="C15" s="9"/>
      <c r="D15" s="9"/>
      <c r="E15" s="10"/>
      <c r="F15" s="11"/>
      <c r="G15" s="11"/>
      <c r="H15" s="10"/>
      <c r="I15" s="9"/>
      <c r="J15" s="223"/>
      <c r="K15" s="30"/>
      <c r="L15" s="52" t="s">
        <v>37</v>
      </c>
      <c r="M15" s="50">
        <v>245222.09400000001</v>
      </c>
      <c r="N15" s="48" t="s">
        <v>138</v>
      </c>
      <c r="O15" s="49" t="s">
        <v>139</v>
      </c>
      <c r="P15" s="7">
        <v>1</v>
      </c>
      <c r="Q15" s="8">
        <f>15537.5*15</f>
        <v>233062.5</v>
      </c>
      <c r="R15" s="226"/>
      <c r="S15" s="226"/>
      <c r="T15" s="8">
        <v>2.15</v>
      </c>
      <c r="U15" s="257"/>
      <c r="V15" s="50">
        <f t="shared" ref="V15:V21" si="1">M15-T15*M15/100</f>
        <v>239949.818979</v>
      </c>
      <c r="W15" t="s">
        <v>140</v>
      </c>
    </row>
    <row r="16" spans="1:23" x14ac:dyDescent="0.25">
      <c r="A16" s="53" t="s">
        <v>24</v>
      </c>
      <c r="B16" s="9">
        <v>23456.23</v>
      </c>
      <c r="C16" s="9"/>
      <c r="D16" s="9"/>
      <c r="E16" s="10"/>
      <c r="F16" s="11"/>
      <c r="G16" s="11"/>
      <c r="H16" s="10"/>
      <c r="I16" s="9"/>
      <c r="J16" s="9">
        <v>313844.35740000004</v>
      </c>
      <c r="K16" s="30"/>
      <c r="L16" s="52" t="s">
        <v>38</v>
      </c>
      <c r="M16" s="46">
        <v>336179.84399999998</v>
      </c>
      <c r="N16" s="54" t="s">
        <v>141</v>
      </c>
      <c r="O16" s="49" t="s">
        <v>142</v>
      </c>
      <c r="P16" s="7">
        <v>1</v>
      </c>
      <c r="Q16" s="8">
        <f>42618.73*8</f>
        <v>340949.84</v>
      </c>
      <c r="R16" s="8" t="e">
        <f>J16-#REF!</f>
        <v>#REF!</v>
      </c>
      <c r="S16" s="8">
        <v>1.89</v>
      </c>
      <c r="T16" s="8">
        <v>1.55</v>
      </c>
      <c r="U16" s="8">
        <f>J16-S16*J16/100</f>
        <v>307912.69904514006</v>
      </c>
      <c r="V16" s="50">
        <f t="shared" si="1"/>
        <v>330969.05641799996</v>
      </c>
      <c r="W16" t="s">
        <v>143</v>
      </c>
    </row>
    <row r="17" spans="1:23" x14ac:dyDescent="0.25">
      <c r="A17" s="53" t="s">
        <v>26</v>
      </c>
      <c r="B17" s="9">
        <v>23456.23</v>
      </c>
      <c r="C17" s="9">
        <v>17.89</v>
      </c>
      <c r="D17" s="9">
        <v>2.44</v>
      </c>
      <c r="E17" s="10">
        <v>1</v>
      </c>
      <c r="F17" s="11" t="s">
        <v>22</v>
      </c>
      <c r="G17" s="11"/>
      <c r="H17" s="10">
        <v>1</v>
      </c>
      <c r="I17" s="9">
        <f>B17*C17*((1-D17/100)+D17/100*1*1)</f>
        <v>419631.9547</v>
      </c>
      <c r="J17" s="9">
        <f>B17*C17*((1-D17/100)+D17/100*1*1)</f>
        <v>419631.9547</v>
      </c>
      <c r="K17" s="30">
        <f t="shared" si="0"/>
        <v>421679.75863893598</v>
      </c>
      <c r="L17" s="52" t="s">
        <v>39</v>
      </c>
      <c r="M17" s="50">
        <v>417192.88</v>
      </c>
      <c r="N17" s="48" t="s">
        <v>144</v>
      </c>
      <c r="O17" s="49" t="s">
        <v>145</v>
      </c>
      <c r="P17" s="7">
        <v>1</v>
      </c>
      <c r="Q17" s="8">
        <f>8592.74*48</f>
        <v>412451.52</v>
      </c>
      <c r="R17" s="8" t="e">
        <f>J17-#REF!</f>
        <v>#REF!</v>
      </c>
      <c r="S17" s="8">
        <v>2.44</v>
      </c>
      <c r="T17" s="8">
        <v>1.19</v>
      </c>
      <c r="U17" s="8">
        <f>J17-J17*S17/100</f>
        <v>409392.93500532</v>
      </c>
      <c r="V17" s="50">
        <f t="shared" si="1"/>
        <v>412228.284728</v>
      </c>
      <c r="W17" t="s">
        <v>146</v>
      </c>
    </row>
    <row r="18" spans="1:23" x14ac:dyDescent="0.25">
      <c r="A18" s="55" t="s">
        <v>27</v>
      </c>
      <c r="B18" s="9"/>
      <c r="C18" s="9"/>
      <c r="D18" s="9"/>
      <c r="E18" s="10"/>
      <c r="F18" s="11"/>
      <c r="G18" s="11"/>
      <c r="H18" s="10"/>
      <c r="I18" s="9"/>
      <c r="J18" s="9">
        <v>811116.43339999998</v>
      </c>
      <c r="K18" s="30"/>
      <c r="L18" s="52" t="s">
        <v>40</v>
      </c>
      <c r="M18" s="50">
        <v>707530.01800000004</v>
      </c>
      <c r="N18" t="s">
        <v>147</v>
      </c>
      <c r="O18" s="49" t="s">
        <v>148</v>
      </c>
      <c r="P18" s="7">
        <v>1</v>
      </c>
      <c r="Q18" s="8">
        <f>8592.74*7.5+19079.38*45</f>
        <v>923017.65000000014</v>
      </c>
      <c r="R18" s="8"/>
      <c r="S18" s="8">
        <v>0.73</v>
      </c>
      <c r="T18" s="8">
        <v>0.69</v>
      </c>
      <c r="U18" s="8">
        <f>J18-J18*S18/100</f>
        <v>805195.28343617998</v>
      </c>
      <c r="V18" s="50">
        <f t="shared" si="1"/>
        <v>702648.06087580009</v>
      </c>
      <c r="W18" t="s">
        <v>324</v>
      </c>
    </row>
    <row r="19" spans="1:23" x14ac:dyDescent="0.25">
      <c r="A19" s="53" t="s">
        <v>27</v>
      </c>
      <c r="B19" s="9">
        <v>23456.23</v>
      </c>
      <c r="C19" s="9">
        <v>34.58</v>
      </c>
      <c r="D19" s="9">
        <v>0.73</v>
      </c>
      <c r="E19" s="10">
        <v>1</v>
      </c>
      <c r="F19" s="11" t="s">
        <v>22</v>
      </c>
      <c r="G19" s="11"/>
      <c r="H19" s="10">
        <v>1</v>
      </c>
      <c r="I19" s="9">
        <f>B19*C19*((1-D19/100)+D19/100*1*1)</f>
        <v>811116.43339999998</v>
      </c>
      <c r="J19" s="9">
        <f>B19*C19*((1-D19/100)+D19/100*1*1)</f>
        <v>811116.43339999998</v>
      </c>
      <c r="K19" s="30">
        <f t="shared" si="0"/>
        <v>812300.66339276405</v>
      </c>
      <c r="L19" s="52" t="s">
        <v>40</v>
      </c>
      <c r="M19" s="50">
        <v>707530.01800000004</v>
      </c>
      <c r="N19" s="48" t="s">
        <v>149</v>
      </c>
      <c r="O19" s="49" t="s">
        <v>150</v>
      </c>
      <c r="P19" s="7">
        <v>1</v>
      </c>
      <c r="Q19" s="8">
        <f>42618.73*16</f>
        <v>681899.68</v>
      </c>
      <c r="R19" s="8" t="e">
        <f>J19-#REF!</f>
        <v>#REF!</v>
      </c>
      <c r="S19" s="8">
        <v>0.73</v>
      </c>
      <c r="T19" s="8">
        <v>0.69</v>
      </c>
      <c r="U19" s="8">
        <f>J19-J19*S19/100</f>
        <v>805195.28343617998</v>
      </c>
      <c r="V19" s="50">
        <f t="shared" si="1"/>
        <v>702648.06087580009</v>
      </c>
      <c r="W19" t="s">
        <v>151</v>
      </c>
    </row>
    <row r="20" spans="1:23" x14ac:dyDescent="0.25">
      <c r="A20" s="210" t="s">
        <v>28</v>
      </c>
      <c r="B20" s="212">
        <v>13285.05</v>
      </c>
      <c r="C20" s="46">
        <v>7.73</v>
      </c>
      <c r="D20" s="46">
        <v>3.76</v>
      </c>
      <c r="E20" s="56">
        <v>1</v>
      </c>
      <c r="F20" s="57">
        <v>1</v>
      </c>
      <c r="G20" s="57"/>
      <c r="H20" s="56">
        <v>1</v>
      </c>
      <c r="I20" s="46">
        <f>B20*C20*((1-D20/100)+D20/100*1*1)</f>
        <v>102693.4365</v>
      </c>
      <c r="J20" s="212">
        <f>B20*C20*((1-D20/100)+D20/100*1*1)</f>
        <v>102693.4365</v>
      </c>
      <c r="K20" s="30">
        <f>B20*C20*((1-D20/100)+D20/100*1*1)</f>
        <v>102693.4365</v>
      </c>
      <c r="L20" s="46" t="s">
        <v>41</v>
      </c>
      <c r="M20" s="46">
        <v>119256.86340000002</v>
      </c>
      <c r="N20" s="48" t="s">
        <v>129</v>
      </c>
      <c r="O20" s="49" t="s">
        <v>130</v>
      </c>
      <c r="P20" s="7">
        <v>1</v>
      </c>
      <c r="Q20" s="8">
        <f>34868.64*3.75</f>
        <v>130757.4</v>
      </c>
      <c r="R20" s="206" t="e">
        <f>J20-#REF!</f>
        <v>#REF!</v>
      </c>
      <c r="S20" s="206">
        <v>3.76</v>
      </c>
      <c r="T20" s="47">
        <v>15.08</v>
      </c>
      <c r="U20" s="253">
        <f>J20-J20*S20/100</f>
        <v>98832.163287599993</v>
      </c>
      <c r="V20" s="50">
        <f t="shared" si="1"/>
        <v>101272.92839928</v>
      </c>
      <c r="W20" t="s">
        <v>131</v>
      </c>
    </row>
    <row r="21" spans="1:23" x14ac:dyDescent="0.25">
      <c r="A21" s="216"/>
      <c r="B21" s="217"/>
      <c r="C21" s="46"/>
      <c r="D21" s="46"/>
      <c r="E21" s="56"/>
      <c r="F21" s="57"/>
      <c r="G21" s="57"/>
      <c r="H21" s="56"/>
      <c r="I21" s="46"/>
      <c r="J21" s="217"/>
      <c r="K21" s="30"/>
      <c r="L21" s="209" t="s">
        <v>42</v>
      </c>
      <c r="M21" s="212">
        <v>134285.73300000001</v>
      </c>
      <c r="N21" s="48" t="s">
        <v>152</v>
      </c>
      <c r="O21" s="49" t="s">
        <v>153</v>
      </c>
      <c r="P21" s="7">
        <v>30</v>
      </c>
      <c r="Q21" s="8">
        <f>1430.65*60</f>
        <v>85839</v>
      </c>
      <c r="R21" s="215"/>
      <c r="S21" s="215"/>
      <c r="T21" s="47">
        <v>14.91</v>
      </c>
      <c r="U21" s="253"/>
      <c r="V21" s="212">
        <f t="shared" si="1"/>
        <v>114263.73020970001</v>
      </c>
      <c r="W21" t="s">
        <v>154</v>
      </c>
    </row>
    <row r="22" spans="1:23" ht="30" x14ac:dyDescent="0.25">
      <c r="A22" s="216"/>
      <c r="B22" s="213"/>
      <c r="C22" s="46"/>
      <c r="D22" s="46"/>
      <c r="E22" s="56"/>
      <c r="F22" s="57"/>
      <c r="G22" s="57"/>
      <c r="H22" s="56"/>
      <c r="I22" s="46"/>
      <c r="J22" s="217"/>
      <c r="K22" s="30"/>
      <c r="L22" s="207"/>
      <c r="M22" s="217"/>
      <c r="N22" s="48" t="s">
        <v>155</v>
      </c>
      <c r="O22" s="49" t="s">
        <v>156</v>
      </c>
      <c r="P22" s="7">
        <v>28</v>
      </c>
      <c r="Q22" s="8">
        <f>1430.65*56+3261.85*10</f>
        <v>112734.90000000001</v>
      </c>
      <c r="R22" s="214"/>
      <c r="S22" s="215"/>
      <c r="T22" s="47">
        <v>14.91</v>
      </c>
      <c r="U22" s="253"/>
      <c r="V22" s="217"/>
      <c r="W22" t="s">
        <v>157</v>
      </c>
    </row>
    <row r="23" spans="1:23" ht="30" x14ac:dyDescent="0.25">
      <c r="A23" s="211"/>
      <c r="B23" s="58"/>
      <c r="C23" s="46"/>
      <c r="D23" s="46"/>
      <c r="E23" s="56"/>
      <c r="F23" s="57"/>
      <c r="G23" s="57"/>
      <c r="H23" s="56"/>
      <c r="I23" s="46"/>
      <c r="J23" s="213"/>
      <c r="K23" s="30"/>
      <c r="L23" s="207"/>
      <c r="M23" s="217"/>
      <c r="N23" s="48" t="s">
        <v>155</v>
      </c>
      <c r="O23" s="49" t="s">
        <v>156</v>
      </c>
      <c r="P23" s="7">
        <v>28</v>
      </c>
      <c r="Q23" s="8">
        <f>1430.65*56+3261.85*20</f>
        <v>145353.40000000002</v>
      </c>
      <c r="R23" s="59"/>
      <c r="S23" s="214"/>
      <c r="T23" s="47">
        <v>14.91</v>
      </c>
      <c r="U23" s="253"/>
      <c r="V23" s="217"/>
      <c r="W23" t="s">
        <v>158</v>
      </c>
    </row>
    <row r="24" spans="1:23" ht="30" x14ac:dyDescent="0.25">
      <c r="A24" s="210" t="s">
        <v>29</v>
      </c>
      <c r="B24" s="212">
        <v>13285.05</v>
      </c>
      <c r="C24" s="46">
        <v>11.25</v>
      </c>
      <c r="D24" s="46">
        <v>6.78</v>
      </c>
      <c r="E24" s="56">
        <v>1</v>
      </c>
      <c r="F24" s="57">
        <v>1</v>
      </c>
      <c r="G24" s="57"/>
      <c r="H24" s="56">
        <v>1</v>
      </c>
      <c r="I24" s="46">
        <f>B24*C24*((1-D24/100)+D24/100*1*1)</f>
        <v>149456.8125</v>
      </c>
      <c r="J24" s="212">
        <f>B24*C24*((1-D24/100)+D24/100*1*1)</f>
        <v>149456.8125</v>
      </c>
      <c r="K24" s="30">
        <f>B24*C24*((1-D24/100)+D24/100*1*1)</f>
        <v>149456.8125</v>
      </c>
      <c r="L24" s="207"/>
      <c r="M24" s="217"/>
      <c r="N24" s="48" t="s">
        <v>159</v>
      </c>
      <c r="O24" s="49" t="s">
        <v>160</v>
      </c>
      <c r="P24" s="7">
        <v>21</v>
      </c>
      <c r="Q24" s="8">
        <f>3545.19*21+3261.85*10</f>
        <v>107067.49</v>
      </c>
      <c r="R24" s="206" t="e">
        <f>J24-#REF!</f>
        <v>#REF!</v>
      </c>
      <c r="S24" s="206">
        <v>6.78</v>
      </c>
      <c r="T24" s="47">
        <v>14.91</v>
      </c>
      <c r="U24" s="253">
        <f>J24-J24*S24/100</f>
        <v>139323.64061249999</v>
      </c>
      <c r="V24" s="217"/>
      <c r="W24" t="s">
        <v>161</v>
      </c>
    </row>
    <row r="25" spans="1:23" ht="30" x14ac:dyDescent="0.25">
      <c r="A25" s="216"/>
      <c r="B25" s="217"/>
      <c r="C25" s="46"/>
      <c r="D25" s="46"/>
      <c r="E25" s="56"/>
      <c r="F25" s="57"/>
      <c r="G25" s="57"/>
      <c r="H25" s="56"/>
      <c r="I25" s="46"/>
      <c r="J25" s="217"/>
      <c r="K25" s="30"/>
      <c r="L25" s="208"/>
      <c r="M25" s="213"/>
      <c r="N25" s="48" t="s">
        <v>159</v>
      </c>
      <c r="O25" s="49" t="s">
        <v>160</v>
      </c>
      <c r="P25" s="7">
        <v>21</v>
      </c>
      <c r="Q25" s="8">
        <f>3545.19*21+3261.85*20</f>
        <v>139685.99</v>
      </c>
      <c r="R25" s="215"/>
      <c r="S25" s="215"/>
      <c r="T25" s="47">
        <v>14.91</v>
      </c>
      <c r="U25" s="253"/>
      <c r="V25" s="213"/>
      <c r="W25" t="s">
        <v>162</v>
      </c>
    </row>
    <row r="26" spans="1:23" ht="45" customHeight="1" x14ac:dyDescent="0.25">
      <c r="A26" s="216"/>
      <c r="B26" s="213"/>
      <c r="C26" s="46"/>
      <c r="D26" s="46"/>
      <c r="E26" s="56"/>
      <c r="F26" s="57"/>
      <c r="G26" s="57"/>
      <c r="H26" s="56"/>
      <c r="I26" s="46"/>
      <c r="J26" s="217"/>
      <c r="K26" s="30"/>
      <c r="L26" s="209" t="s">
        <v>43</v>
      </c>
      <c r="M26" s="212">
        <v>187860.87000000002</v>
      </c>
      <c r="N26" s="48" t="s">
        <v>163</v>
      </c>
      <c r="O26" s="49" t="s">
        <v>164</v>
      </c>
      <c r="P26" s="7">
        <v>21</v>
      </c>
      <c r="Q26" s="8">
        <f>3261.85*10+1754.76*63</f>
        <v>143168.38</v>
      </c>
      <c r="R26" s="208"/>
      <c r="S26" s="215"/>
      <c r="T26" s="47">
        <v>9.99</v>
      </c>
      <c r="U26" s="253"/>
      <c r="V26" s="212">
        <f>M26-T26*M26/100</f>
        <v>169093.56908700001</v>
      </c>
      <c r="W26" t="s">
        <v>165</v>
      </c>
    </row>
    <row r="27" spans="1:23" ht="45" customHeight="1" x14ac:dyDescent="0.25">
      <c r="A27" s="211"/>
      <c r="B27" s="58"/>
      <c r="C27" s="46"/>
      <c r="D27" s="46"/>
      <c r="E27" s="56"/>
      <c r="F27" s="57"/>
      <c r="G27" s="57"/>
      <c r="H27" s="56"/>
      <c r="I27" s="46"/>
      <c r="J27" s="213"/>
      <c r="K27" s="30"/>
      <c r="L27" s="207"/>
      <c r="M27" s="217"/>
      <c r="N27" s="48" t="s">
        <v>163</v>
      </c>
      <c r="O27" s="49" t="s">
        <v>164</v>
      </c>
      <c r="P27" s="7">
        <v>21</v>
      </c>
      <c r="Q27" s="8">
        <f>3261.85*20+1754.76*63</f>
        <v>175786.88</v>
      </c>
      <c r="R27" s="60"/>
      <c r="S27" s="214"/>
      <c r="T27" s="47">
        <v>9.99</v>
      </c>
      <c r="U27" s="253"/>
      <c r="V27" s="217"/>
      <c r="W27" t="s">
        <v>166</v>
      </c>
    </row>
    <row r="28" spans="1:23" x14ac:dyDescent="0.25">
      <c r="A28" s="210" t="s">
        <v>30</v>
      </c>
      <c r="B28" s="212">
        <v>13285.05</v>
      </c>
      <c r="C28" s="46">
        <v>15.26</v>
      </c>
      <c r="D28" s="46">
        <v>0.43</v>
      </c>
      <c r="E28" s="56">
        <v>1</v>
      </c>
      <c r="F28" s="57">
        <v>1</v>
      </c>
      <c r="G28" s="57"/>
      <c r="H28" s="56">
        <v>1</v>
      </c>
      <c r="I28" s="46">
        <f>B28*C28*((1-D28/100)+D28/100*1*1)</f>
        <v>202729.86299999998</v>
      </c>
      <c r="J28" s="212">
        <f>B28*C28*((1-D28/100)+D28/100*1*1)</f>
        <v>202729.86299999998</v>
      </c>
      <c r="K28" s="30">
        <f>B28*C28*((1-D28/100)+D28/100*1*1)</f>
        <v>202729.86299999998</v>
      </c>
      <c r="L28" s="208"/>
      <c r="M28" s="213"/>
      <c r="N28" s="48" t="s">
        <v>132</v>
      </c>
      <c r="O28" s="49" t="s">
        <v>133</v>
      </c>
      <c r="P28" s="7">
        <v>1</v>
      </c>
      <c r="Q28" s="8">
        <f>8592.74*22.5</f>
        <v>193336.65</v>
      </c>
      <c r="R28" s="206" t="e">
        <f>J28-#REF!</f>
        <v>#REF!</v>
      </c>
      <c r="S28" s="206">
        <v>0.43</v>
      </c>
      <c r="T28" s="47">
        <v>9.99</v>
      </c>
      <c r="U28" s="253">
        <f>J28-J28*S28/100</f>
        <v>201858.12458909999</v>
      </c>
      <c r="V28" s="213"/>
      <c r="W28" t="s">
        <v>134</v>
      </c>
    </row>
    <row r="29" spans="1:23" x14ac:dyDescent="0.25">
      <c r="A29" s="216"/>
      <c r="B29" s="217"/>
      <c r="C29" s="46"/>
      <c r="D29" s="46"/>
      <c r="E29" s="56"/>
      <c r="F29" s="57"/>
      <c r="G29" s="57"/>
      <c r="H29" s="56"/>
      <c r="I29" s="46"/>
      <c r="J29" s="217"/>
      <c r="K29" s="30"/>
      <c r="L29" s="209" t="s">
        <v>44</v>
      </c>
      <c r="M29" s="212">
        <v>223067.38860000003</v>
      </c>
      <c r="N29" s="48" t="s">
        <v>135</v>
      </c>
      <c r="O29" s="49" t="s">
        <v>136</v>
      </c>
      <c r="P29" s="7">
        <v>1</v>
      </c>
      <c r="Q29" s="8">
        <f>8592.74*24</f>
        <v>206225.76</v>
      </c>
      <c r="R29" s="207"/>
      <c r="S29" s="215"/>
      <c r="T29" s="47">
        <v>8.49</v>
      </c>
      <c r="U29" s="254"/>
      <c r="V29" s="212">
        <f>M29-T29*M29/100</f>
        <v>204128.96730786003</v>
      </c>
      <c r="W29" t="s">
        <v>137</v>
      </c>
    </row>
    <row r="30" spans="1:23" x14ac:dyDescent="0.25">
      <c r="A30" s="211"/>
      <c r="B30" s="213"/>
      <c r="C30" s="46"/>
      <c r="D30" s="46"/>
      <c r="E30" s="56"/>
      <c r="F30" s="57"/>
      <c r="G30" s="57"/>
      <c r="H30" s="56"/>
      <c r="I30" s="46"/>
      <c r="J30" s="213"/>
      <c r="K30" s="30"/>
      <c r="L30" s="208"/>
      <c r="M30" s="213"/>
      <c r="N30" s="61" t="s">
        <v>138</v>
      </c>
      <c r="O30" s="49" t="s">
        <v>139</v>
      </c>
      <c r="P30" s="7">
        <v>1</v>
      </c>
      <c r="Q30" s="8">
        <f>15537.5*15</f>
        <v>233062.5</v>
      </c>
      <c r="R30" s="208"/>
      <c r="S30" s="214"/>
      <c r="T30" s="47">
        <v>8.49</v>
      </c>
      <c r="U30" s="254"/>
      <c r="V30" s="213"/>
      <c r="W30" t="s">
        <v>140</v>
      </c>
    </row>
    <row r="31" spans="1:23" x14ac:dyDescent="0.25">
      <c r="A31" s="53" t="s">
        <v>31</v>
      </c>
      <c r="B31" s="46"/>
      <c r="C31" s="46"/>
      <c r="D31" s="46"/>
      <c r="E31" s="56"/>
      <c r="F31" s="57"/>
      <c r="G31" s="57"/>
      <c r="H31" s="56"/>
      <c r="I31" s="46"/>
      <c r="J31" s="46">
        <v>316848.4425</v>
      </c>
      <c r="K31" s="30"/>
      <c r="L31" s="209" t="s">
        <v>45</v>
      </c>
      <c r="M31" s="212">
        <v>378783.1764</v>
      </c>
      <c r="N31" s="48" t="s">
        <v>141</v>
      </c>
      <c r="O31" s="49" t="s">
        <v>142</v>
      </c>
      <c r="P31" s="7">
        <v>1</v>
      </c>
      <c r="Q31" s="8">
        <f>42618.73*8</f>
        <v>340949.84</v>
      </c>
      <c r="R31" s="47" t="e">
        <f>J31-#REF!</f>
        <v>#REF!</v>
      </c>
      <c r="S31" s="47">
        <v>0.32</v>
      </c>
      <c r="T31" s="47">
        <v>2.82</v>
      </c>
      <c r="U31" s="47">
        <f>J31-J31*S31/100</f>
        <v>315834.52748400002</v>
      </c>
      <c r="V31" s="212">
        <f>M31-T31*M31/100</f>
        <v>368101.49082552001</v>
      </c>
      <c r="W31" t="s">
        <v>143</v>
      </c>
    </row>
    <row r="32" spans="1:23" x14ac:dyDescent="0.25">
      <c r="A32" s="210" t="s">
        <v>32</v>
      </c>
      <c r="B32" s="212">
        <v>13285.05</v>
      </c>
      <c r="C32" s="46">
        <v>35.24</v>
      </c>
      <c r="D32" s="46">
        <v>0.67</v>
      </c>
      <c r="E32" s="56">
        <v>1</v>
      </c>
      <c r="F32" s="57">
        <v>1</v>
      </c>
      <c r="G32" s="57"/>
      <c r="H32" s="56">
        <v>1</v>
      </c>
      <c r="I32" s="46">
        <f>B32*C32*((1-D32/100)+D32/100*1*1)</f>
        <v>468165.16200000001</v>
      </c>
      <c r="J32" s="212">
        <f>B32*C32*((1-D32/100)+D32/100*1*1)</f>
        <v>468165.16200000001</v>
      </c>
      <c r="K32" s="30">
        <f>B32*C32*((1-D32/100)+D32/100*1*1)</f>
        <v>468165.16200000001</v>
      </c>
      <c r="L32" s="208"/>
      <c r="M32" s="213"/>
      <c r="N32" s="48" t="s">
        <v>144</v>
      </c>
      <c r="O32" s="49" t="s">
        <v>145</v>
      </c>
      <c r="P32" s="7">
        <v>1</v>
      </c>
      <c r="Q32" s="8">
        <f>8592.74*48</f>
        <v>412451.52</v>
      </c>
      <c r="R32" s="206" t="e">
        <f>J32-#REF!</f>
        <v>#REF!</v>
      </c>
      <c r="S32" s="206">
        <v>0.67</v>
      </c>
      <c r="T32" s="47">
        <v>2.82</v>
      </c>
      <c r="U32" s="253">
        <f>J32-J32*S32/100</f>
        <v>465028.45541460003</v>
      </c>
      <c r="V32" s="213"/>
      <c r="W32" t="s">
        <v>146</v>
      </c>
    </row>
    <row r="33" spans="1:23" x14ac:dyDescent="0.25">
      <c r="A33" s="211"/>
      <c r="B33" s="213"/>
      <c r="C33" s="46"/>
      <c r="D33" s="46"/>
      <c r="E33" s="56"/>
      <c r="F33" s="57"/>
      <c r="G33" s="57"/>
      <c r="H33" s="56"/>
      <c r="I33" s="46"/>
      <c r="J33" s="213"/>
      <c r="K33" s="30"/>
      <c r="L33" s="52" t="s">
        <v>46</v>
      </c>
      <c r="M33" s="50">
        <v>788319.87300000002</v>
      </c>
      <c r="N33" s="48" t="s">
        <v>149</v>
      </c>
      <c r="O33" s="49" t="s">
        <v>150</v>
      </c>
      <c r="P33" s="7">
        <v>1</v>
      </c>
      <c r="Q33" s="8">
        <f>42618.73*16</f>
        <v>681899.68</v>
      </c>
      <c r="R33" s="208"/>
      <c r="S33" s="214"/>
      <c r="T33" s="47">
        <v>0.23</v>
      </c>
      <c r="U33" s="254"/>
      <c r="V33" s="50">
        <f>M33-T33*M33/100</f>
        <v>786506.73729209998</v>
      </c>
      <c r="W33" t="s">
        <v>151</v>
      </c>
    </row>
    <row r="34" spans="1:23" x14ac:dyDescent="0.25">
      <c r="A34" s="62" t="s">
        <v>32</v>
      </c>
      <c r="B34" s="63"/>
      <c r="C34" s="63"/>
      <c r="D34" s="63"/>
      <c r="E34" s="64"/>
      <c r="F34" s="65"/>
      <c r="G34" s="65"/>
      <c r="H34" s="64"/>
      <c r="I34" s="63"/>
      <c r="J34" s="66">
        <v>468165.16200000001</v>
      </c>
      <c r="K34" s="67"/>
      <c r="L34" s="52" t="s">
        <v>46</v>
      </c>
      <c r="M34" s="50">
        <v>788319.87300000002</v>
      </c>
      <c r="N34" s="68" t="s">
        <v>147</v>
      </c>
      <c r="O34" s="49" t="s">
        <v>148</v>
      </c>
      <c r="P34" s="7">
        <v>1</v>
      </c>
      <c r="Q34" s="51">
        <f>8592.74*7.5+19079.38*45</f>
        <v>923017.65000000014</v>
      </c>
      <c r="R34" s="8"/>
      <c r="S34" s="8">
        <v>0.67</v>
      </c>
      <c r="T34" s="8">
        <v>0.23</v>
      </c>
      <c r="U34" s="8">
        <f>J34-J34*S34/100</f>
        <v>465028.45541460003</v>
      </c>
      <c r="V34" s="50">
        <f t="shared" ref="V34" si="2">M34-T34*M34/100</f>
        <v>786506.73729209998</v>
      </c>
      <c r="W34" t="s">
        <v>324</v>
      </c>
    </row>
    <row r="35" spans="1:23" ht="15.75" thickBot="1" x14ac:dyDescent="0.3">
      <c r="B35" s="69"/>
      <c r="C35" s="69"/>
      <c r="D35" s="69"/>
      <c r="E35" s="70"/>
      <c r="F35" s="71"/>
      <c r="G35" s="71"/>
      <c r="H35" s="70"/>
      <c r="I35" s="69"/>
      <c r="J35" s="69"/>
      <c r="K35" s="72"/>
      <c r="L35" s="72"/>
      <c r="M35" s="72"/>
    </row>
    <row r="36" spans="1:23" ht="19.5" customHeight="1" thickBot="1" x14ac:dyDescent="0.35">
      <c r="A36" s="232" t="s">
        <v>167</v>
      </c>
      <c r="B36" s="233"/>
      <c r="C36" s="233"/>
      <c r="D36" s="233"/>
      <c r="E36" s="233"/>
      <c r="F36" s="233"/>
      <c r="G36" s="233"/>
      <c r="H36" s="233"/>
      <c r="I36" s="233"/>
      <c r="J36" s="233"/>
      <c r="K36" s="234"/>
      <c r="L36" s="40"/>
      <c r="M36" s="40"/>
      <c r="N36" s="41"/>
      <c r="O36" s="42"/>
      <c r="P36" s="42"/>
      <c r="Q36" s="73"/>
      <c r="R36" s="73"/>
    </row>
    <row r="37" spans="1:23" ht="15" customHeight="1" x14ac:dyDescent="0.25">
      <c r="A37" s="235" t="s">
        <v>112</v>
      </c>
      <c r="B37" s="236" t="s">
        <v>10</v>
      </c>
      <c r="C37" s="236" t="s">
        <v>11</v>
      </c>
      <c r="D37" s="236" t="s">
        <v>12</v>
      </c>
      <c r="E37" s="238" t="s">
        <v>13</v>
      </c>
      <c r="F37" s="238"/>
      <c r="G37" s="238"/>
      <c r="H37" s="236" t="s">
        <v>168</v>
      </c>
      <c r="I37" s="182" t="s">
        <v>15</v>
      </c>
      <c r="J37" s="183" t="s">
        <v>114</v>
      </c>
      <c r="K37" s="182" t="s">
        <v>17</v>
      </c>
      <c r="L37" s="188" t="s">
        <v>115</v>
      </c>
      <c r="M37" s="188" t="s">
        <v>116</v>
      </c>
      <c r="N37" s="227" t="s">
        <v>117</v>
      </c>
      <c r="O37" s="229" t="s">
        <v>169</v>
      </c>
      <c r="P37" s="229" t="s">
        <v>119</v>
      </c>
      <c r="Q37" s="218" t="s">
        <v>120</v>
      </c>
      <c r="R37" s="243" t="s">
        <v>121</v>
      </c>
      <c r="S37" s="74"/>
      <c r="T37" s="74"/>
      <c r="U37" s="219" t="s">
        <v>170</v>
      </c>
      <c r="V37" s="183" t="s">
        <v>125</v>
      </c>
    </row>
    <row r="38" spans="1:23" ht="61.5" customHeight="1" x14ac:dyDescent="0.25">
      <c r="A38" s="235"/>
      <c r="B38" s="236"/>
      <c r="C38" s="236"/>
      <c r="D38" s="236"/>
      <c r="E38" s="75"/>
      <c r="F38" s="75"/>
      <c r="G38" s="75"/>
      <c r="H38" s="236"/>
      <c r="I38" s="182"/>
      <c r="J38" s="183"/>
      <c r="K38" s="182"/>
      <c r="L38" s="184"/>
      <c r="M38" s="184"/>
      <c r="N38" s="227"/>
      <c r="O38" s="229"/>
      <c r="P38" s="229"/>
      <c r="Q38" s="218"/>
      <c r="R38" s="251"/>
      <c r="S38" s="220" t="s">
        <v>122</v>
      </c>
      <c r="T38" s="252" t="s">
        <v>123</v>
      </c>
      <c r="U38" s="219"/>
      <c r="V38" s="183"/>
      <c r="W38" t="s">
        <v>329</v>
      </c>
    </row>
    <row r="39" spans="1:23" ht="5.25" customHeight="1" x14ac:dyDescent="0.25">
      <c r="A39" s="227"/>
      <c r="B39" s="237"/>
      <c r="C39" s="237"/>
      <c r="D39" s="237"/>
      <c r="E39" s="76" t="s">
        <v>171</v>
      </c>
      <c r="F39" s="76" t="s">
        <v>172</v>
      </c>
      <c r="G39" s="76" t="s">
        <v>128</v>
      </c>
      <c r="H39" s="237"/>
      <c r="I39" s="183"/>
      <c r="J39" s="183"/>
      <c r="K39" s="183"/>
      <c r="L39" s="182"/>
      <c r="M39" s="182"/>
      <c r="N39" s="228"/>
      <c r="O39" s="230"/>
      <c r="P39" s="230"/>
      <c r="Q39" s="219"/>
      <c r="R39" s="240"/>
      <c r="S39" s="218"/>
      <c r="T39" s="252"/>
      <c r="U39" s="219"/>
      <c r="V39" s="183"/>
    </row>
    <row r="40" spans="1:23" x14ac:dyDescent="0.25">
      <c r="A40" s="45" t="s">
        <v>21</v>
      </c>
      <c r="B40" s="9">
        <v>23735.14</v>
      </c>
      <c r="C40" s="9">
        <v>4.2300000000000004</v>
      </c>
      <c r="D40" s="9">
        <v>17.54</v>
      </c>
      <c r="E40" s="10" t="s">
        <v>173</v>
      </c>
      <c r="F40" s="11" t="s">
        <v>53</v>
      </c>
      <c r="G40" s="11"/>
      <c r="H40" s="10">
        <v>1</v>
      </c>
      <c r="I40" s="9">
        <f>B40*C40*((1-D40/100)+D40/100*1*0.8)</f>
        <v>96877.622751624003</v>
      </c>
      <c r="J40" s="9">
        <f>B40*C40*((1-D40/100)+D40/100*1.35*1)</f>
        <v>106563.17623465801</v>
      </c>
      <c r="K40" s="30">
        <f>B40*C40*((1-D40/100)+D40/100*1*1.35)</f>
        <v>106563.17623465801</v>
      </c>
      <c r="L40" s="46" t="s">
        <v>34</v>
      </c>
      <c r="M40" s="66">
        <v>122237.80472092802</v>
      </c>
      <c r="N40" s="48" t="s">
        <v>129</v>
      </c>
      <c r="O40" s="49" t="s">
        <v>130</v>
      </c>
      <c r="P40" s="7">
        <v>1</v>
      </c>
      <c r="Q40" s="8">
        <f>35748.18*3.75</f>
        <v>134055.67499999999</v>
      </c>
      <c r="R40" s="8" t="e">
        <f>J40-#REF!</f>
        <v>#REF!</v>
      </c>
      <c r="S40" s="8">
        <v>17.54</v>
      </c>
      <c r="T40" s="8">
        <v>5.84</v>
      </c>
      <c r="U40" s="8">
        <f>J40-S40*J40/100</f>
        <v>87871.995123098997</v>
      </c>
      <c r="V40" s="50">
        <f t="shared" ref="V40:V63" si="3">M40-T40*M40/100</f>
        <v>115099.11692522583</v>
      </c>
      <c r="W40" t="s">
        <v>131</v>
      </c>
    </row>
    <row r="41" spans="1:23" x14ac:dyDescent="0.25">
      <c r="A41" s="210" t="s">
        <v>23</v>
      </c>
      <c r="B41" s="9">
        <v>23735.14</v>
      </c>
      <c r="C41" s="9">
        <v>8.49</v>
      </c>
      <c r="D41" s="9">
        <v>7.19</v>
      </c>
      <c r="E41" s="10" t="s">
        <v>173</v>
      </c>
      <c r="F41" s="11" t="s">
        <v>53</v>
      </c>
      <c r="G41" s="11"/>
      <c r="H41" s="10">
        <v>1</v>
      </c>
      <c r="I41" s="9">
        <f>B41*C41*((1-D41/100)+D41/100*1*0.8)</f>
        <v>198613.605550932</v>
      </c>
      <c r="J41" s="221">
        <f>B41*C41*((1-D41/100)+D41/100*1.35*1)</f>
        <v>206582.37143586902</v>
      </c>
      <c r="K41" s="30">
        <f t="shared" ref="K41:K47" si="4">B41*C41*((1-D41/100)+D41/100*1*1.35)</f>
        <v>206582.37143586902</v>
      </c>
      <c r="L41" s="212" t="s">
        <v>36</v>
      </c>
      <c r="M41" s="77">
        <v>200396.064012066</v>
      </c>
      <c r="N41" s="48" t="s">
        <v>132</v>
      </c>
      <c r="O41" s="49" t="s">
        <v>133</v>
      </c>
      <c r="P41" s="7">
        <v>1</v>
      </c>
      <c r="Q41" s="8">
        <f>9248.98*22.5</f>
        <v>208102.05</v>
      </c>
      <c r="R41" s="224" t="e">
        <f>J41-#REF!</f>
        <v>#REF!</v>
      </c>
      <c r="S41" s="224">
        <v>7.19</v>
      </c>
      <c r="T41" s="8">
        <v>3.32</v>
      </c>
      <c r="U41" s="224">
        <f>J41-S41*J41/100</f>
        <v>191729.09892963004</v>
      </c>
      <c r="V41" s="50">
        <f t="shared" si="3"/>
        <v>193742.91468686541</v>
      </c>
      <c r="W41" t="s">
        <v>134</v>
      </c>
    </row>
    <row r="42" spans="1:23" x14ac:dyDescent="0.25">
      <c r="A42" s="216"/>
      <c r="B42" s="9"/>
      <c r="C42" s="9"/>
      <c r="D42" s="9"/>
      <c r="E42" s="10"/>
      <c r="F42" s="11"/>
      <c r="G42" s="11"/>
      <c r="H42" s="10"/>
      <c r="I42" s="9"/>
      <c r="J42" s="222"/>
      <c r="K42" s="30"/>
      <c r="L42" s="213"/>
      <c r="M42" s="77">
        <v>200396.064012066</v>
      </c>
      <c r="N42" s="48" t="s">
        <v>135</v>
      </c>
      <c r="O42" s="49" t="s">
        <v>136</v>
      </c>
      <c r="P42" s="7">
        <v>1</v>
      </c>
      <c r="Q42" s="8">
        <f>9248.98*24</f>
        <v>221975.52</v>
      </c>
      <c r="R42" s="225"/>
      <c r="S42" s="225"/>
      <c r="T42" s="8">
        <v>3.32</v>
      </c>
      <c r="U42" s="225"/>
      <c r="V42" s="50">
        <f t="shared" si="3"/>
        <v>193742.91468686541</v>
      </c>
      <c r="W42" t="s">
        <v>137</v>
      </c>
    </row>
    <row r="43" spans="1:23" x14ac:dyDescent="0.25">
      <c r="A43" s="211"/>
      <c r="B43" s="9"/>
      <c r="C43" s="9"/>
      <c r="D43" s="9"/>
      <c r="E43" s="10"/>
      <c r="F43" s="11"/>
      <c r="G43" s="11"/>
      <c r="H43" s="10"/>
      <c r="I43" s="9"/>
      <c r="J43" s="223"/>
      <c r="K43" s="30"/>
      <c r="L43" s="52" t="s">
        <v>37</v>
      </c>
      <c r="M43" s="66">
        <v>250037.5486684725</v>
      </c>
      <c r="N43" s="48" t="s">
        <v>138</v>
      </c>
      <c r="O43" s="49" t="s">
        <v>139</v>
      </c>
      <c r="P43" s="7">
        <v>1</v>
      </c>
      <c r="Q43" s="8">
        <f>16844.99*15</f>
        <v>252674.85000000003</v>
      </c>
      <c r="R43" s="226"/>
      <c r="S43" s="226"/>
      <c r="T43" s="8">
        <v>2.15</v>
      </c>
      <c r="U43" s="226"/>
      <c r="V43" s="50">
        <f t="shared" si="3"/>
        <v>244661.74137210034</v>
      </c>
      <c r="W43" t="s">
        <v>140</v>
      </c>
    </row>
    <row r="44" spans="1:23" x14ac:dyDescent="0.25">
      <c r="A44" s="53" t="s">
        <v>24</v>
      </c>
      <c r="B44" s="9"/>
      <c r="C44" s="9"/>
      <c r="D44" s="9"/>
      <c r="E44" s="10"/>
      <c r="F44" s="11"/>
      <c r="G44" s="11"/>
      <c r="H44" s="10"/>
      <c r="I44" s="9"/>
      <c r="J44" s="9">
        <v>319676.94</v>
      </c>
      <c r="K44" s="30"/>
      <c r="L44" s="52" t="s">
        <v>38</v>
      </c>
      <c r="M44" s="63">
        <v>342066.98185159505</v>
      </c>
      <c r="N44" s="78" t="s">
        <v>141</v>
      </c>
      <c r="O44" s="49" t="s">
        <v>142</v>
      </c>
      <c r="P44" s="7">
        <v>1</v>
      </c>
      <c r="Q44" s="8">
        <f>42108.32*8</f>
        <v>336866.56</v>
      </c>
      <c r="R44" s="8" t="e">
        <f>J44-#REF!</f>
        <v>#REF!</v>
      </c>
      <c r="S44" s="8">
        <v>1.89</v>
      </c>
      <c r="T44" s="8">
        <v>1.55</v>
      </c>
      <c r="U44" s="8">
        <f>J44-S44*J44/100</f>
        <v>313635.04583399999</v>
      </c>
      <c r="V44" s="50">
        <f t="shared" si="3"/>
        <v>336764.9436328953</v>
      </c>
      <c r="W44" t="s">
        <v>143</v>
      </c>
    </row>
    <row r="45" spans="1:23" x14ac:dyDescent="0.25">
      <c r="A45" s="53" t="s">
        <v>26</v>
      </c>
      <c r="B45" s="9">
        <v>23735.14</v>
      </c>
      <c r="C45" s="9">
        <v>17.89</v>
      </c>
      <c r="D45" s="9">
        <v>2.44</v>
      </c>
      <c r="E45" s="10" t="s">
        <v>173</v>
      </c>
      <c r="F45" s="11" t="s">
        <v>53</v>
      </c>
      <c r="G45" s="11"/>
      <c r="H45" s="10">
        <v>1</v>
      </c>
      <c r="I45" s="9">
        <f>B45*C45*((1-D45/100)+D45/100*1*0.8)</f>
        <v>422549.50092555198</v>
      </c>
      <c r="J45" s="9">
        <f>B45*C45*((1-D45/100)+D45/100*1.35*1)</f>
        <v>428247.92353028402</v>
      </c>
      <c r="K45" s="30">
        <f t="shared" si="4"/>
        <v>428247.92353028402</v>
      </c>
      <c r="L45" s="52" t="s">
        <v>39</v>
      </c>
      <c r="M45" s="66">
        <v>423966.72526962002</v>
      </c>
      <c r="N45" s="48" t="s">
        <v>144</v>
      </c>
      <c r="O45" s="49" t="s">
        <v>145</v>
      </c>
      <c r="P45" s="7">
        <v>1</v>
      </c>
      <c r="Q45" s="8">
        <f>9248.98*48</f>
        <v>443951.04</v>
      </c>
      <c r="R45" s="8" t="e">
        <f>J45-#REF!</f>
        <v>#REF!</v>
      </c>
      <c r="S45" s="8">
        <v>2.44</v>
      </c>
      <c r="T45" s="8">
        <v>1.19</v>
      </c>
      <c r="U45" s="8">
        <f>J45-J45*S45/100</f>
        <v>417798.67419614509</v>
      </c>
      <c r="V45" s="50">
        <f t="shared" si="3"/>
        <v>418921.52123891155</v>
      </c>
      <c r="W45" t="s">
        <v>146</v>
      </c>
    </row>
    <row r="46" spans="1:23" x14ac:dyDescent="0.25">
      <c r="A46" s="55" t="s">
        <v>27</v>
      </c>
      <c r="B46" s="9"/>
      <c r="C46" s="9"/>
      <c r="D46" s="9"/>
      <c r="E46" s="10"/>
      <c r="F46" s="11"/>
      <c r="G46" s="11"/>
      <c r="H46" s="10"/>
      <c r="I46" s="9"/>
      <c r="J46" s="9">
        <v>822858.18591576605</v>
      </c>
      <c r="K46" s="30"/>
      <c r="L46" s="52" t="s">
        <v>40</v>
      </c>
      <c r="M46" s="50">
        <v>717764.92451139458</v>
      </c>
      <c r="N46" t="s">
        <v>147</v>
      </c>
      <c r="O46" s="49" t="s">
        <v>148</v>
      </c>
      <c r="P46" s="7">
        <v>1</v>
      </c>
      <c r="Q46" s="8">
        <f>9248.98*7.5+20661.65*45</f>
        <v>999141.60000000009</v>
      </c>
      <c r="R46" s="8"/>
      <c r="S46" s="8">
        <v>0.73</v>
      </c>
      <c r="T46" s="8">
        <v>0.69</v>
      </c>
      <c r="U46" s="8">
        <f>J46-J46*S46/100</f>
        <v>816851.32115858095</v>
      </c>
      <c r="V46" s="50">
        <f t="shared" si="3"/>
        <v>712812.346532266</v>
      </c>
      <c r="W46" t="s">
        <v>324</v>
      </c>
    </row>
    <row r="47" spans="1:23" x14ac:dyDescent="0.25">
      <c r="A47" s="53" t="s">
        <v>27</v>
      </c>
      <c r="B47" s="9">
        <v>23735.14</v>
      </c>
      <c r="C47" s="9">
        <v>34.58</v>
      </c>
      <c r="D47" s="9">
        <v>0.73</v>
      </c>
      <c r="E47" s="10" t="s">
        <v>173</v>
      </c>
      <c r="F47" s="11" t="s">
        <v>53</v>
      </c>
      <c r="G47" s="11"/>
      <c r="H47" s="10">
        <v>1</v>
      </c>
      <c r="I47" s="9">
        <f>B47*C47*((1-D47/100)+D47/100*1*0.8)</f>
        <v>819562.82993384788</v>
      </c>
      <c r="J47" s="9">
        <f>B47*C47*((1-D47/100)+D47/100*1.35*1)</f>
        <v>822858.18591576605</v>
      </c>
      <c r="K47" s="30">
        <f t="shared" si="4"/>
        <v>822858.18591576605</v>
      </c>
      <c r="L47" s="52" t="s">
        <v>40</v>
      </c>
      <c r="M47" s="66">
        <v>717764.92451139458</v>
      </c>
      <c r="N47" s="48" t="s">
        <v>149</v>
      </c>
      <c r="O47" s="49" t="s">
        <v>150</v>
      </c>
      <c r="P47" s="7">
        <v>1</v>
      </c>
      <c r="Q47" s="8">
        <f>42108.32*16</f>
        <v>673733.12</v>
      </c>
      <c r="R47" s="8" t="e">
        <f>J47-#REF!</f>
        <v>#REF!</v>
      </c>
      <c r="S47" s="8">
        <v>0.73</v>
      </c>
      <c r="T47" s="8">
        <v>0.69</v>
      </c>
      <c r="U47" s="8">
        <f>J47-J47*S47/100</f>
        <v>816851.32115858095</v>
      </c>
      <c r="V47" s="50">
        <f t="shared" si="3"/>
        <v>712812.346532266</v>
      </c>
      <c r="W47" t="s">
        <v>151</v>
      </c>
    </row>
    <row r="48" spans="1:23" x14ac:dyDescent="0.25">
      <c r="A48" s="210" t="s">
        <v>28</v>
      </c>
      <c r="B48" s="46">
        <v>13285.02</v>
      </c>
      <c r="C48" s="46">
        <v>7.73</v>
      </c>
      <c r="D48" s="46">
        <v>3.76</v>
      </c>
      <c r="E48" s="56" t="s">
        <v>173</v>
      </c>
      <c r="F48" s="57">
        <v>1</v>
      </c>
      <c r="G48" s="57"/>
      <c r="H48" s="56">
        <v>1</v>
      </c>
      <c r="I48" s="46">
        <f>B48*C48*((1-D48/100)+D48/100*1*1)</f>
        <v>102693.20460000001</v>
      </c>
      <c r="J48" s="212">
        <f>B48*C48*((1-D48/100)+D48/100*1*1)</f>
        <v>102693.20460000001</v>
      </c>
      <c r="K48" s="30">
        <f>B48*C48*((1-D48/100)+D48/100*1.2*1)</f>
        <v>103465.457498592</v>
      </c>
      <c r="L48" s="46" t="s">
        <v>41</v>
      </c>
      <c r="M48" s="66">
        <v>119256.86340000002</v>
      </c>
      <c r="N48" s="48" t="s">
        <v>129</v>
      </c>
      <c r="O48" s="49" t="s">
        <v>130</v>
      </c>
      <c r="P48" s="7">
        <v>1</v>
      </c>
      <c r="Q48" s="8">
        <f>35748.18*3.75</f>
        <v>134055.67499999999</v>
      </c>
      <c r="R48" s="206" t="e">
        <f>J48-#REF!</f>
        <v>#REF!</v>
      </c>
      <c r="S48" s="206">
        <v>3.76</v>
      </c>
      <c r="T48" s="47">
        <v>15.08</v>
      </c>
      <c r="U48" s="206">
        <f>J48-J48*S48/100</f>
        <v>98831.940107040005</v>
      </c>
      <c r="V48" s="50">
        <f t="shared" si="3"/>
        <v>101272.92839928</v>
      </c>
      <c r="W48" t="s">
        <v>131</v>
      </c>
    </row>
    <row r="49" spans="1:23" x14ac:dyDescent="0.25">
      <c r="A49" s="216"/>
      <c r="B49" s="46"/>
      <c r="C49" s="46"/>
      <c r="D49" s="46"/>
      <c r="E49" s="56"/>
      <c r="F49" s="57"/>
      <c r="G49" s="57"/>
      <c r="H49" s="56"/>
      <c r="I49" s="46"/>
      <c r="J49" s="217"/>
      <c r="K49" s="30"/>
      <c r="L49" s="209" t="s">
        <v>42</v>
      </c>
      <c r="M49" s="77">
        <v>134285.73300000001</v>
      </c>
      <c r="N49" s="48" t="s">
        <v>152</v>
      </c>
      <c r="O49" s="49" t="s">
        <v>153</v>
      </c>
      <c r="P49" s="7">
        <v>30</v>
      </c>
      <c r="Q49" s="8">
        <f>1300.59*120</f>
        <v>156070.79999999999</v>
      </c>
      <c r="R49" s="215"/>
      <c r="S49" s="215"/>
      <c r="T49" s="47">
        <v>14.91</v>
      </c>
      <c r="U49" s="215"/>
      <c r="V49" s="50">
        <f t="shared" si="3"/>
        <v>114263.73020970001</v>
      </c>
      <c r="W49" t="s">
        <v>174</v>
      </c>
    </row>
    <row r="50" spans="1:23" x14ac:dyDescent="0.25">
      <c r="A50" s="216"/>
      <c r="B50" s="46"/>
      <c r="C50" s="46"/>
      <c r="D50" s="46"/>
      <c r="E50" s="56"/>
      <c r="F50" s="57"/>
      <c r="G50" s="57"/>
      <c r="H50" s="56"/>
      <c r="I50" s="46"/>
      <c r="J50" s="217"/>
      <c r="K50" s="30"/>
      <c r="L50" s="207"/>
      <c r="M50" s="77">
        <v>134285.73300000001</v>
      </c>
      <c r="N50" s="48" t="s">
        <v>152</v>
      </c>
      <c r="O50" s="49" t="s">
        <v>153</v>
      </c>
      <c r="P50" s="7">
        <v>30</v>
      </c>
      <c r="Q50" s="8">
        <f>1300.59*60</f>
        <v>78035.399999999994</v>
      </c>
      <c r="R50" s="215"/>
      <c r="S50" s="215"/>
      <c r="T50" s="47">
        <v>14.91</v>
      </c>
      <c r="U50" s="215"/>
      <c r="V50" s="50">
        <f t="shared" si="3"/>
        <v>114263.73020970001</v>
      </c>
      <c r="W50" t="s">
        <v>175</v>
      </c>
    </row>
    <row r="51" spans="1:23" ht="30" x14ac:dyDescent="0.25">
      <c r="A51" s="216"/>
      <c r="B51" s="46"/>
      <c r="C51" s="46"/>
      <c r="D51" s="46"/>
      <c r="E51" s="56"/>
      <c r="F51" s="57"/>
      <c r="G51" s="57"/>
      <c r="H51" s="56"/>
      <c r="I51" s="46"/>
      <c r="J51" s="217"/>
      <c r="K51" s="30"/>
      <c r="L51" s="207"/>
      <c r="M51" s="77">
        <v>134285.73300000001</v>
      </c>
      <c r="N51" s="48" t="s">
        <v>155</v>
      </c>
      <c r="O51" s="49" t="s">
        <v>156</v>
      </c>
      <c r="P51" s="7">
        <v>28</v>
      </c>
      <c r="Q51" s="8">
        <f>1300.59*56+2633.59*10</f>
        <v>99168.94</v>
      </c>
      <c r="R51" s="214"/>
      <c r="S51" s="214"/>
      <c r="T51" s="47">
        <v>14.91</v>
      </c>
      <c r="U51" s="215"/>
      <c r="V51" s="50">
        <f t="shared" si="3"/>
        <v>114263.73020970001</v>
      </c>
      <c r="W51" t="s">
        <v>176</v>
      </c>
    </row>
    <row r="52" spans="1:23" ht="30" x14ac:dyDescent="0.25">
      <c r="A52" s="211"/>
      <c r="B52" s="46"/>
      <c r="C52" s="46"/>
      <c r="D52" s="46"/>
      <c r="E52" s="56"/>
      <c r="F52" s="57"/>
      <c r="G52" s="57"/>
      <c r="H52" s="56"/>
      <c r="I52" s="46"/>
      <c r="J52" s="213"/>
      <c r="K52" s="30"/>
      <c r="L52" s="207"/>
      <c r="M52" s="77">
        <v>134285.73300000001</v>
      </c>
      <c r="N52" s="48" t="s">
        <v>155</v>
      </c>
      <c r="O52" s="49" t="s">
        <v>156</v>
      </c>
      <c r="P52" s="7">
        <v>28</v>
      </c>
      <c r="Q52" s="8">
        <f>1300.59*56+2633.59*20</f>
        <v>125504.84</v>
      </c>
      <c r="R52" s="59"/>
      <c r="S52" s="59"/>
      <c r="T52" s="47">
        <v>14.91</v>
      </c>
      <c r="U52" s="214"/>
      <c r="V52" s="50">
        <f t="shared" si="3"/>
        <v>114263.73020970001</v>
      </c>
      <c r="W52" t="s">
        <v>177</v>
      </c>
    </row>
    <row r="53" spans="1:23" ht="30" x14ac:dyDescent="0.25">
      <c r="A53" s="210" t="s">
        <v>29</v>
      </c>
      <c r="B53" s="46">
        <v>13285.02</v>
      </c>
      <c r="C53" s="46">
        <v>11.25</v>
      </c>
      <c r="D53" s="46">
        <v>6.78</v>
      </c>
      <c r="E53" s="56" t="s">
        <v>173</v>
      </c>
      <c r="F53" s="57">
        <v>1</v>
      </c>
      <c r="G53" s="57"/>
      <c r="H53" s="56">
        <v>1</v>
      </c>
      <c r="I53" s="46">
        <f>B53*C53*((1-D53/100)+D53/100*1*1)</f>
        <v>149456.47500000001</v>
      </c>
      <c r="J53" s="212">
        <f>B53*C53*((1-D53/100)+D53/100*1*1)</f>
        <v>149456.47500000001</v>
      </c>
      <c r="K53" s="30">
        <f>B53*C53*((1-D53/100)+D53/100*1.2*1)</f>
        <v>151483.10480100001</v>
      </c>
      <c r="L53" s="207"/>
      <c r="M53" s="77">
        <v>134285.73300000001</v>
      </c>
      <c r="N53" s="48" t="s">
        <v>159</v>
      </c>
      <c r="O53" s="49" t="s">
        <v>160</v>
      </c>
      <c r="P53" s="7">
        <v>21</v>
      </c>
      <c r="Q53" s="8">
        <f>3665.76*21+2633.59*10</f>
        <v>103316.86000000002</v>
      </c>
      <c r="R53" s="206" t="e">
        <f>J53-#REF!</f>
        <v>#REF!</v>
      </c>
      <c r="S53" s="206">
        <v>6.78</v>
      </c>
      <c r="T53" s="47">
        <v>14.91</v>
      </c>
      <c r="U53" s="206">
        <f>J53-J53*S53/100</f>
        <v>139323.32599499999</v>
      </c>
      <c r="V53" s="50">
        <f t="shared" si="3"/>
        <v>114263.73020970001</v>
      </c>
      <c r="W53" t="s">
        <v>178</v>
      </c>
    </row>
    <row r="54" spans="1:23" ht="30" x14ac:dyDescent="0.25">
      <c r="A54" s="216"/>
      <c r="B54" s="46"/>
      <c r="C54" s="46"/>
      <c r="D54" s="46"/>
      <c r="E54" s="56"/>
      <c r="F54" s="57"/>
      <c r="G54" s="57"/>
      <c r="H54" s="56"/>
      <c r="I54" s="46"/>
      <c r="J54" s="217"/>
      <c r="K54" s="30"/>
      <c r="L54" s="208"/>
      <c r="M54" s="77">
        <v>134285.73300000001</v>
      </c>
      <c r="N54" s="48" t="s">
        <v>159</v>
      </c>
      <c r="O54" s="49" t="s">
        <v>160</v>
      </c>
      <c r="P54" s="7">
        <v>21</v>
      </c>
      <c r="Q54" s="8">
        <f>3665.76*21+2633.59*20</f>
        <v>129652.76000000001</v>
      </c>
      <c r="R54" s="215"/>
      <c r="S54" s="215"/>
      <c r="T54" s="47">
        <v>14.91</v>
      </c>
      <c r="U54" s="215"/>
      <c r="V54" s="50">
        <f t="shared" si="3"/>
        <v>114263.73020970001</v>
      </c>
      <c r="W54" t="s">
        <v>179</v>
      </c>
    </row>
    <row r="55" spans="1:23" ht="15" customHeight="1" x14ac:dyDescent="0.25">
      <c r="A55" s="216"/>
      <c r="B55" s="46"/>
      <c r="C55" s="46"/>
      <c r="D55" s="46"/>
      <c r="E55" s="56"/>
      <c r="F55" s="57"/>
      <c r="G55" s="57"/>
      <c r="H55" s="56"/>
      <c r="I55" s="46"/>
      <c r="J55" s="217"/>
      <c r="K55" s="30"/>
      <c r="L55" s="209" t="s">
        <v>43</v>
      </c>
      <c r="M55" s="77">
        <v>187860.87000000002</v>
      </c>
      <c r="N55" s="48" t="s">
        <v>163</v>
      </c>
      <c r="O55" s="49" t="s">
        <v>164</v>
      </c>
      <c r="P55" s="7">
        <v>21</v>
      </c>
      <c r="Q55" s="8">
        <f>2633.59*10+1852.74*63</f>
        <v>143058.51999999999</v>
      </c>
      <c r="R55" s="208"/>
      <c r="S55" s="214"/>
      <c r="T55" s="47">
        <v>9.99</v>
      </c>
      <c r="U55" s="215"/>
      <c r="V55" s="50">
        <f t="shared" si="3"/>
        <v>169093.56908700001</v>
      </c>
      <c r="W55" t="s">
        <v>180</v>
      </c>
    </row>
    <row r="56" spans="1:23" ht="30" x14ac:dyDescent="0.25">
      <c r="A56" s="211"/>
      <c r="B56" s="46"/>
      <c r="C56" s="46"/>
      <c r="D56" s="46"/>
      <c r="E56" s="56"/>
      <c r="F56" s="57"/>
      <c r="G56" s="57"/>
      <c r="H56" s="56"/>
      <c r="I56" s="46"/>
      <c r="J56" s="213"/>
      <c r="K56" s="30"/>
      <c r="L56" s="207"/>
      <c r="M56" s="77">
        <v>187860.87000000002</v>
      </c>
      <c r="N56" s="48" t="s">
        <v>163</v>
      </c>
      <c r="O56" s="49" t="s">
        <v>164</v>
      </c>
      <c r="P56" s="7">
        <v>21</v>
      </c>
      <c r="Q56" s="8">
        <f>2633.59*20+1852.74*63</f>
        <v>169394.41999999998</v>
      </c>
      <c r="R56" s="60"/>
      <c r="S56" s="59"/>
      <c r="T56" s="47">
        <v>9.99</v>
      </c>
      <c r="U56" s="214"/>
      <c r="V56" s="50">
        <f t="shared" si="3"/>
        <v>169093.56908700001</v>
      </c>
      <c r="W56" t="s">
        <v>181</v>
      </c>
    </row>
    <row r="57" spans="1:23" x14ac:dyDescent="0.25">
      <c r="A57" s="210" t="s">
        <v>30</v>
      </c>
      <c r="B57" s="46">
        <v>13285.02</v>
      </c>
      <c r="C57" s="46">
        <v>15.26</v>
      </c>
      <c r="D57" s="46">
        <v>0.43</v>
      </c>
      <c r="E57" s="56" t="s">
        <v>173</v>
      </c>
      <c r="F57" s="57">
        <v>1</v>
      </c>
      <c r="G57" s="57"/>
      <c r="H57" s="56">
        <v>1</v>
      </c>
      <c r="I57" s="46">
        <f>B57*C57*((1-D57/100)+D57/100*1*1)</f>
        <v>202729.40520000001</v>
      </c>
      <c r="J57" s="212">
        <f>B57*C57*((1-D57/100)+D57/100*1*1)</f>
        <v>202729.40520000001</v>
      </c>
      <c r="K57" s="30">
        <f>B57*C57*((1-D57/100)+D57/100*1.2*1)</f>
        <v>202903.75248847203</v>
      </c>
      <c r="L57" s="208"/>
      <c r="M57" s="77">
        <v>187860.87000000002</v>
      </c>
      <c r="N57" s="48" t="s">
        <v>132</v>
      </c>
      <c r="O57" s="49" t="s">
        <v>133</v>
      </c>
      <c r="P57" s="7">
        <v>1</v>
      </c>
      <c r="Q57" s="8">
        <f>9248.98*22.5</f>
        <v>208102.05</v>
      </c>
      <c r="R57" s="206" t="e">
        <f>J57-#REF!</f>
        <v>#REF!</v>
      </c>
      <c r="S57" s="206">
        <v>0.43</v>
      </c>
      <c r="T57" s="47">
        <v>9.99</v>
      </c>
      <c r="U57" s="206">
        <f>J57-J57*S57/100</f>
        <v>201857.66875764</v>
      </c>
      <c r="V57" s="50">
        <f t="shared" si="3"/>
        <v>169093.56908700001</v>
      </c>
      <c r="W57" t="s">
        <v>134</v>
      </c>
    </row>
    <row r="58" spans="1:23" x14ac:dyDescent="0.25">
      <c r="A58" s="216"/>
      <c r="B58" s="46"/>
      <c r="C58" s="46"/>
      <c r="D58" s="46"/>
      <c r="E58" s="56"/>
      <c r="F58" s="57"/>
      <c r="G58" s="57"/>
      <c r="H58" s="56"/>
      <c r="I58" s="46"/>
      <c r="J58" s="217"/>
      <c r="K58" s="30"/>
      <c r="L58" s="209" t="s">
        <v>44</v>
      </c>
      <c r="M58" s="77">
        <v>223067.38860000003</v>
      </c>
      <c r="N58" s="48" t="s">
        <v>135</v>
      </c>
      <c r="O58" s="49" t="s">
        <v>136</v>
      </c>
      <c r="P58" s="7">
        <v>1</v>
      </c>
      <c r="Q58" s="8">
        <f>9248.98*24</f>
        <v>221975.52</v>
      </c>
      <c r="R58" s="207"/>
      <c r="S58" s="215"/>
      <c r="T58" s="47">
        <v>8.49</v>
      </c>
      <c r="U58" s="207"/>
      <c r="V58" s="50">
        <f t="shared" si="3"/>
        <v>204128.96730786003</v>
      </c>
      <c r="W58" t="s">
        <v>137</v>
      </c>
    </row>
    <row r="59" spans="1:23" x14ac:dyDescent="0.25">
      <c r="A59" s="211"/>
      <c r="B59" s="46"/>
      <c r="C59" s="46"/>
      <c r="D59" s="46"/>
      <c r="E59" s="56"/>
      <c r="F59" s="57"/>
      <c r="G59" s="57"/>
      <c r="H59" s="56"/>
      <c r="I59" s="46"/>
      <c r="J59" s="213"/>
      <c r="K59" s="30"/>
      <c r="L59" s="208"/>
      <c r="M59" s="77">
        <v>223067.38860000003</v>
      </c>
      <c r="N59" s="79" t="s">
        <v>138</v>
      </c>
      <c r="O59" s="49" t="s">
        <v>139</v>
      </c>
      <c r="P59" s="7">
        <v>1</v>
      </c>
      <c r="Q59" s="8">
        <f>16844.99*15</f>
        <v>252674.85000000003</v>
      </c>
      <c r="R59" s="208"/>
      <c r="S59" s="214"/>
      <c r="T59" s="47">
        <v>8.49</v>
      </c>
      <c r="U59" s="208"/>
      <c r="V59" s="50">
        <f t="shared" si="3"/>
        <v>204128.96730786003</v>
      </c>
      <c r="W59" t="s">
        <v>140</v>
      </c>
    </row>
    <row r="60" spans="1:23" x14ac:dyDescent="0.25">
      <c r="A60" s="53" t="s">
        <v>31</v>
      </c>
      <c r="B60" s="46"/>
      <c r="C60" s="46"/>
      <c r="D60" s="46"/>
      <c r="E60" s="56"/>
      <c r="F60" s="57"/>
      <c r="G60" s="57"/>
      <c r="H60" s="56"/>
      <c r="I60" s="46"/>
      <c r="J60" s="46">
        <v>316847.72700000001</v>
      </c>
      <c r="K60" s="30"/>
      <c r="L60" s="209" t="s">
        <v>45</v>
      </c>
      <c r="M60" s="77">
        <v>378783.1764</v>
      </c>
      <c r="N60" s="48" t="s">
        <v>141</v>
      </c>
      <c r="O60" s="49" t="s">
        <v>142</v>
      </c>
      <c r="P60" s="7">
        <v>1</v>
      </c>
      <c r="Q60" s="8">
        <f>42108.32*8</f>
        <v>336866.56</v>
      </c>
      <c r="R60" s="47" t="e">
        <f>J60-#REF!</f>
        <v>#REF!</v>
      </c>
      <c r="S60" s="47">
        <v>0.32</v>
      </c>
      <c r="T60" s="47">
        <v>2.82</v>
      </c>
      <c r="U60" s="47">
        <f>J60-J60*S60/100</f>
        <v>315833.8142736</v>
      </c>
      <c r="V60" s="50">
        <f t="shared" si="3"/>
        <v>368101.49082552001</v>
      </c>
      <c r="W60" t="s">
        <v>143</v>
      </c>
    </row>
    <row r="61" spans="1:23" x14ac:dyDescent="0.25">
      <c r="A61" s="210" t="s">
        <v>32</v>
      </c>
      <c r="B61" s="46">
        <v>13285.02</v>
      </c>
      <c r="C61" s="46">
        <v>35.24</v>
      </c>
      <c r="D61" s="46">
        <v>0.67</v>
      </c>
      <c r="E61" s="56" t="s">
        <v>173</v>
      </c>
      <c r="F61" s="57">
        <v>1</v>
      </c>
      <c r="G61" s="57"/>
      <c r="H61" s="56">
        <v>1</v>
      </c>
      <c r="I61" s="46">
        <f>B61*C61*((1-D61/100)+D61/100*1*1)</f>
        <v>468164.10480000003</v>
      </c>
      <c r="J61" s="212">
        <f>B61*C61*((1-D61/100)+D61/100*1*1)</f>
        <v>468164.10480000003</v>
      </c>
      <c r="K61" s="30">
        <f>B61*C61*((1-D61/100)+D61/100*1.2*1)</f>
        <v>468791.44470043201</v>
      </c>
      <c r="L61" s="208"/>
      <c r="M61" s="77">
        <v>378783.1764</v>
      </c>
      <c r="N61" s="48" t="s">
        <v>144</v>
      </c>
      <c r="O61" s="49" t="s">
        <v>145</v>
      </c>
      <c r="P61" s="7">
        <v>1</v>
      </c>
      <c r="Q61" s="8">
        <f>9248.98*48</f>
        <v>443951.04</v>
      </c>
      <c r="R61" s="206" t="e">
        <f>J61-#REF!</f>
        <v>#REF!</v>
      </c>
      <c r="S61" s="206">
        <v>0.67</v>
      </c>
      <c r="T61" s="47">
        <v>2.82</v>
      </c>
      <c r="U61" s="206">
        <f>J61-J61*S61/100</f>
        <v>465027.40529784001</v>
      </c>
      <c r="V61" s="50">
        <f t="shared" si="3"/>
        <v>368101.49082552001</v>
      </c>
      <c r="W61" t="s">
        <v>146</v>
      </c>
    </row>
    <row r="62" spans="1:23" x14ac:dyDescent="0.25">
      <c r="A62" s="211"/>
      <c r="B62" s="46"/>
      <c r="C62" s="46"/>
      <c r="D62" s="46"/>
      <c r="E62" s="56"/>
      <c r="F62" s="57"/>
      <c r="G62" s="57"/>
      <c r="H62" s="56"/>
      <c r="I62" s="46"/>
      <c r="J62" s="213"/>
      <c r="K62" s="30"/>
      <c r="L62" s="52" t="s">
        <v>46</v>
      </c>
      <c r="M62" s="66">
        <v>788319.87300000002</v>
      </c>
      <c r="N62" s="48" t="s">
        <v>149</v>
      </c>
      <c r="O62" s="49" t="s">
        <v>150</v>
      </c>
      <c r="P62" s="7">
        <v>1</v>
      </c>
      <c r="Q62" s="8">
        <f>42108.32*16</f>
        <v>673733.12</v>
      </c>
      <c r="R62" s="208"/>
      <c r="S62" s="214"/>
      <c r="T62" s="47">
        <v>0.23</v>
      </c>
      <c r="U62" s="208"/>
      <c r="V62" s="50">
        <f t="shared" si="3"/>
        <v>786506.73729209998</v>
      </c>
      <c r="W62" t="s">
        <v>151</v>
      </c>
    </row>
    <row r="63" spans="1:23" x14ac:dyDescent="0.25">
      <c r="A63" s="62" t="s">
        <v>32</v>
      </c>
      <c r="B63" s="63"/>
      <c r="C63" s="63"/>
      <c r="D63" s="63"/>
      <c r="E63" s="64"/>
      <c r="F63" s="65"/>
      <c r="G63" s="65"/>
      <c r="H63" s="64"/>
      <c r="I63" s="63"/>
      <c r="J63" s="66">
        <v>468164.10480000003</v>
      </c>
      <c r="K63" s="67"/>
      <c r="L63" s="52" t="s">
        <v>46</v>
      </c>
      <c r="M63" s="50">
        <v>788319.87300000002</v>
      </c>
      <c r="N63" s="68" t="s">
        <v>147</v>
      </c>
      <c r="O63" s="49" t="s">
        <v>148</v>
      </c>
      <c r="P63" s="7">
        <v>1</v>
      </c>
      <c r="Q63" s="51">
        <f>9248.98*7.5+20661.65*45</f>
        <v>999141.60000000009</v>
      </c>
      <c r="R63" s="8"/>
      <c r="S63" s="8">
        <v>0.67</v>
      </c>
      <c r="T63" s="8">
        <v>0.23</v>
      </c>
      <c r="U63" s="8">
        <f>J63-J63*S63/100</f>
        <v>465027.40529784001</v>
      </c>
      <c r="V63" s="50">
        <f t="shared" si="3"/>
        <v>786506.73729209998</v>
      </c>
      <c r="W63" t="s">
        <v>324</v>
      </c>
    </row>
    <row r="64" spans="1:23" ht="15.75" thickBot="1" x14ac:dyDescent="0.3"/>
    <row r="65" spans="1:23" ht="19.5" thickBot="1" x14ac:dyDescent="0.35">
      <c r="A65" s="232" t="s">
        <v>182</v>
      </c>
      <c r="B65" s="233"/>
      <c r="C65" s="233"/>
      <c r="D65" s="233"/>
      <c r="E65" s="233"/>
      <c r="F65" s="233"/>
      <c r="G65" s="233"/>
      <c r="H65" s="233"/>
      <c r="I65" s="233"/>
      <c r="J65" s="233"/>
      <c r="K65" s="234"/>
      <c r="L65" s="40"/>
      <c r="M65" s="40"/>
      <c r="N65" s="41"/>
      <c r="O65" s="42"/>
      <c r="P65" s="42"/>
      <c r="Q65" s="73"/>
      <c r="R65" s="73"/>
    </row>
    <row r="66" spans="1:23" ht="15" customHeight="1" x14ac:dyDescent="0.25">
      <c r="A66" s="244" t="s">
        <v>112</v>
      </c>
      <c r="B66" s="247" t="s">
        <v>10</v>
      </c>
      <c r="C66" s="247" t="s">
        <v>11</v>
      </c>
      <c r="D66" s="247" t="s">
        <v>12</v>
      </c>
      <c r="E66" s="248" t="s">
        <v>13</v>
      </c>
      <c r="F66" s="249"/>
      <c r="G66" s="250"/>
      <c r="H66" s="247" t="s">
        <v>183</v>
      </c>
      <c r="I66" s="188" t="s">
        <v>15</v>
      </c>
      <c r="J66" s="188" t="s">
        <v>114</v>
      </c>
      <c r="K66" s="188" t="s">
        <v>17</v>
      </c>
      <c r="L66" s="188" t="s">
        <v>115</v>
      </c>
      <c r="M66" s="188" t="s">
        <v>116</v>
      </c>
      <c r="N66" s="244" t="s">
        <v>117</v>
      </c>
      <c r="O66" s="245" t="s">
        <v>169</v>
      </c>
      <c r="P66" s="245" t="s">
        <v>119</v>
      </c>
      <c r="Q66" s="246" t="s">
        <v>120</v>
      </c>
      <c r="R66" s="243" t="s">
        <v>121</v>
      </c>
      <c r="S66" s="220" t="s">
        <v>122</v>
      </c>
      <c r="T66" s="219" t="s">
        <v>123</v>
      </c>
      <c r="U66" s="220" t="s">
        <v>170</v>
      </c>
      <c r="V66" s="183" t="s">
        <v>125</v>
      </c>
      <c r="W66" t="s">
        <v>329</v>
      </c>
    </row>
    <row r="67" spans="1:23" ht="75" x14ac:dyDescent="0.25">
      <c r="A67" s="227"/>
      <c r="B67" s="236"/>
      <c r="C67" s="236"/>
      <c r="D67" s="236"/>
      <c r="E67" s="76" t="s">
        <v>184</v>
      </c>
      <c r="F67" s="76" t="s">
        <v>76</v>
      </c>
      <c r="G67" s="76" t="s">
        <v>128</v>
      </c>
      <c r="H67" s="236"/>
      <c r="I67" s="182"/>
      <c r="J67" s="182"/>
      <c r="K67" s="182"/>
      <c r="L67" s="184"/>
      <c r="M67" s="184"/>
      <c r="N67" s="227"/>
      <c r="O67" s="229"/>
      <c r="P67" s="229"/>
      <c r="Q67" s="218"/>
      <c r="R67" s="240"/>
      <c r="S67" s="218"/>
      <c r="T67" s="219"/>
      <c r="U67" s="218"/>
      <c r="V67" s="183"/>
    </row>
    <row r="68" spans="1:23" x14ac:dyDescent="0.25">
      <c r="A68" s="45" t="s">
        <v>21</v>
      </c>
      <c r="B68" s="9">
        <v>23456.21</v>
      </c>
      <c r="C68" s="9">
        <v>4.2300000000000004</v>
      </c>
      <c r="D68" s="9">
        <v>17.54</v>
      </c>
      <c r="E68" s="10">
        <v>1</v>
      </c>
      <c r="F68" s="11" t="s">
        <v>58</v>
      </c>
      <c r="G68" s="11"/>
      <c r="H68" s="10" t="s">
        <v>59</v>
      </c>
      <c r="I68" s="9">
        <f>B68*C68*((1-D68/100)+D68/100*1*0.8)</f>
        <v>95739.138828036012</v>
      </c>
      <c r="J68" s="9">
        <f>B68*C68*((1-D68/100)+D68/100*1.4*1.278)</f>
        <v>112954.33219636997</v>
      </c>
      <c r="K68" s="30">
        <f>B68*C68*((1-D68/100)+D68/100*1.4*2.135)</f>
        <v>133834.62839868199</v>
      </c>
      <c r="L68" s="46" t="s">
        <v>34</v>
      </c>
      <c r="M68" s="80">
        <v>125084.73665983217</v>
      </c>
      <c r="N68" s="81" t="s">
        <v>129</v>
      </c>
      <c r="O68" s="49" t="s">
        <v>130</v>
      </c>
      <c r="P68" s="7">
        <v>1</v>
      </c>
      <c r="Q68" s="8">
        <f>32947.64*3.75</f>
        <v>123553.65</v>
      </c>
      <c r="R68" s="8" t="e">
        <f>J68-#REF!</f>
        <v>#REF!</v>
      </c>
      <c r="S68" s="8">
        <v>17.54</v>
      </c>
      <c r="T68" s="82">
        <v>5.84</v>
      </c>
      <c r="U68" s="8">
        <f>J68-S68*J68/100</f>
        <v>93142.142329126684</v>
      </c>
      <c r="V68" s="50">
        <f t="shared" ref="V68:V91" si="5">M68-T68*M68/100</f>
        <v>117779.78803889797</v>
      </c>
      <c r="W68" t="s">
        <v>131</v>
      </c>
    </row>
    <row r="69" spans="1:23" x14ac:dyDescent="0.25">
      <c r="A69" s="210" t="s">
        <v>23</v>
      </c>
      <c r="B69" s="9">
        <v>23456.21</v>
      </c>
      <c r="C69" s="9">
        <v>8.49</v>
      </c>
      <c r="D69" s="9">
        <v>7.19</v>
      </c>
      <c r="E69" s="10">
        <v>1</v>
      </c>
      <c r="F69" s="11" t="s">
        <v>58</v>
      </c>
      <c r="G69" s="11"/>
      <c r="H69" s="10" t="s">
        <v>59</v>
      </c>
      <c r="I69" s="9">
        <f t="shared" ref="I69:I75" si="6">B69*C69*((1-D69/100)+D69/100*1*0.8)</f>
        <v>196279.54335469799</v>
      </c>
      <c r="J69" s="221">
        <f>B69*C69*((1-D69/100)+D69/100*1.4*1.278)</f>
        <v>210443.30238576166</v>
      </c>
      <c r="K69" s="30">
        <f t="shared" ref="K69:K75" si="7">B69*C69*((1-D69/100)+D69/100*1.4*2.135)</f>
        <v>227622.51597802839</v>
      </c>
      <c r="L69" s="212" t="s">
        <v>36</v>
      </c>
      <c r="M69" s="9">
        <v>202885.28859182884</v>
      </c>
      <c r="N69" s="81" t="s">
        <v>132</v>
      </c>
      <c r="O69" s="49" t="s">
        <v>133</v>
      </c>
      <c r="P69" s="7">
        <v>1</v>
      </c>
      <c r="Q69" s="8">
        <f>8610*22.5</f>
        <v>193725</v>
      </c>
      <c r="R69" s="224" t="e">
        <f>J69-#REF!</f>
        <v>#REF!</v>
      </c>
      <c r="S69" s="224">
        <v>7.19</v>
      </c>
      <c r="T69" s="82">
        <v>3.32</v>
      </c>
      <c r="U69" s="224">
        <f>J69-S69*J69/100</f>
        <v>195312.42894422539</v>
      </c>
      <c r="V69" s="50">
        <f t="shared" si="5"/>
        <v>196149.49701058012</v>
      </c>
      <c r="W69" t="s">
        <v>134</v>
      </c>
    </row>
    <row r="70" spans="1:23" x14ac:dyDescent="0.25">
      <c r="A70" s="216"/>
      <c r="B70" s="9"/>
      <c r="C70" s="9"/>
      <c r="D70" s="9"/>
      <c r="E70" s="10"/>
      <c r="F70" s="11"/>
      <c r="G70" s="11"/>
      <c r="H70" s="10"/>
      <c r="I70" s="9"/>
      <c r="J70" s="222"/>
      <c r="K70" s="30"/>
      <c r="L70" s="213"/>
      <c r="M70" s="9">
        <v>202885.28859182884</v>
      </c>
      <c r="N70" s="81" t="s">
        <v>135</v>
      </c>
      <c r="O70" s="49" t="s">
        <v>136</v>
      </c>
      <c r="P70" s="7">
        <v>1</v>
      </c>
      <c r="Q70" s="8">
        <f>8610*24</f>
        <v>206640</v>
      </c>
      <c r="R70" s="225"/>
      <c r="S70" s="225"/>
      <c r="T70" s="82">
        <v>3.32</v>
      </c>
      <c r="U70" s="225"/>
      <c r="V70" s="50">
        <f t="shared" si="5"/>
        <v>196149.49701058012</v>
      </c>
      <c r="W70" t="s">
        <v>137</v>
      </c>
    </row>
    <row r="71" spans="1:23" x14ac:dyDescent="0.25">
      <c r="A71" s="211"/>
      <c r="B71" s="9"/>
      <c r="C71" s="9"/>
      <c r="D71" s="9"/>
      <c r="E71" s="10"/>
      <c r="F71" s="11"/>
      <c r="G71" s="11"/>
      <c r="H71" s="10"/>
      <c r="I71" s="9"/>
      <c r="J71" s="223"/>
      <c r="K71" s="30"/>
      <c r="L71" s="52" t="s">
        <v>37</v>
      </c>
      <c r="M71" s="9">
        <v>251865.50096159196</v>
      </c>
      <c r="N71" s="81" t="s">
        <v>138</v>
      </c>
      <c r="O71" s="49" t="s">
        <v>139</v>
      </c>
      <c r="P71" s="7">
        <v>1</v>
      </c>
      <c r="Q71" s="8">
        <f>17246.62*15</f>
        <v>258699.3</v>
      </c>
      <c r="R71" s="226"/>
      <c r="S71" s="226"/>
      <c r="T71" s="82">
        <v>2.15</v>
      </c>
      <c r="U71" s="226"/>
      <c r="V71" s="50">
        <f t="shared" si="5"/>
        <v>246450.39269091774</v>
      </c>
      <c r="W71" t="s">
        <v>140</v>
      </c>
    </row>
    <row r="72" spans="1:23" x14ac:dyDescent="0.25">
      <c r="A72" s="53" t="s">
        <v>24</v>
      </c>
      <c r="B72" s="9"/>
      <c r="C72" s="9"/>
      <c r="D72" s="9"/>
      <c r="E72" s="10"/>
      <c r="F72" s="11"/>
      <c r="G72" s="11"/>
      <c r="H72" s="10"/>
      <c r="I72" s="9"/>
      <c r="J72" s="9">
        <v>318525.35058216605</v>
      </c>
      <c r="K72" s="30"/>
      <c r="L72" s="52" t="s">
        <v>38</v>
      </c>
      <c r="M72" s="9">
        <v>343665.67713443656</v>
      </c>
      <c r="N72" s="54" t="s">
        <v>141</v>
      </c>
      <c r="O72" s="49" t="s">
        <v>142</v>
      </c>
      <c r="P72" s="7">
        <v>1</v>
      </c>
      <c r="Q72" s="8">
        <f>42618.73*8</f>
        <v>340949.84</v>
      </c>
      <c r="R72" s="8" t="e">
        <f>J72-#REF!</f>
        <v>#REF!</v>
      </c>
      <c r="S72" s="8">
        <v>1.89</v>
      </c>
      <c r="T72" s="82">
        <v>1.55</v>
      </c>
      <c r="U72" s="8">
        <f>J72-S72*J72/100</f>
        <v>312505.2214561631</v>
      </c>
      <c r="V72" s="50">
        <f t="shared" si="5"/>
        <v>338338.8591388528</v>
      </c>
      <c r="W72" t="s">
        <v>143</v>
      </c>
    </row>
    <row r="73" spans="1:23" x14ac:dyDescent="0.25">
      <c r="A73" s="53" t="s">
        <v>26</v>
      </c>
      <c r="B73" s="9">
        <v>23456.21</v>
      </c>
      <c r="C73" s="9">
        <v>17.89</v>
      </c>
      <c r="D73" s="9">
        <v>2.44</v>
      </c>
      <c r="E73" s="10">
        <v>1</v>
      </c>
      <c r="F73" s="11" t="s">
        <v>58</v>
      </c>
      <c r="G73" s="11"/>
      <c r="H73" s="10" t="s">
        <v>59</v>
      </c>
      <c r="I73" s="9">
        <f t="shared" si="6"/>
        <v>417583.79470712802</v>
      </c>
      <c r="J73" s="9">
        <f>B73*C73*((1-D73/100)+D73/100*1.4*1.278)</f>
        <v>427712.22435307299</v>
      </c>
      <c r="K73" s="30">
        <f t="shared" si="7"/>
        <v>439996.98970811203</v>
      </c>
      <c r="L73" s="52" t="s">
        <v>39</v>
      </c>
      <c r="M73" s="9">
        <v>425275.1250107176</v>
      </c>
      <c r="N73" s="81" t="s">
        <v>144</v>
      </c>
      <c r="O73" s="49" t="s">
        <v>145</v>
      </c>
      <c r="P73" s="7">
        <v>1</v>
      </c>
      <c r="Q73" s="8">
        <f>8610*48</f>
        <v>413280</v>
      </c>
      <c r="R73" s="8" t="e">
        <f>J73-#REF!</f>
        <v>#REF!</v>
      </c>
      <c r="S73" s="8">
        <v>2.44</v>
      </c>
      <c r="T73" s="82">
        <v>1.19</v>
      </c>
      <c r="U73" s="8">
        <f>J73-J73*S73/100</f>
        <v>417276.04607885802</v>
      </c>
      <c r="V73" s="50">
        <f t="shared" si="5"/>
        <v>420214.35102309007</v>
      </c>
      <c r="W73" t="s">
        <v>146</v>
      </c>
    </row>
    <row r="74" spans="1:23" x14ac:dyDescent="0.25">
      <c r="A74" s="55" t="s">
        <v>27</v>
      </c>
      <c r="B74" s="9"/>
      <c r="C74" s="9"/>
      <c r="D74" s="9"/>
      <c r="E74" s="10"/>
      <c r="F74" s="11"/>
      <c r="G74" s="11"/>
      <c r="H74" s="10"/>
      <c r="I74" s="9"/>
      <c r="J74" s="9">
        <v>815788.70936702844</v>
      </c>
      <c r="K74" s="30"/>
      <c r="L74" s="52" t="s">
        <v>40</v>
      </c>
      <c r="M74" s="50">
        <v>718392.64646708115</v>
      </c>
      <c r="N74" t="s">
        <v>147</v>
      </c>
      <c r="O74" s="49" t="s">
        <v>148</v>
      </c>
      <c r="P74" s="7">
        <v>1</v>
      </c>
      <c r="Q74" s="8">
        <f>8610*7.5+19135.33*45</f>
        <v>925664.85000000009</v>
      </c>
      <c r="R74" s="8"/>
      <c r="S74" s="8">
        <v>0.73</v>
      </c>
      <c r="T74" s="8">
        <v>0.69</v>
      </c>
      <c r="U74" s="8">
        <f>J74-J74*S74/100</f>
        <v>809833.45178864908</v>
      </c>
      <c r="V74" s="50">
        <f t="shared" si="5"/>
        <v>713435.73720645835</v>
      </c>
      <c r="W74" t="s">
        <v>324</v>
      </c>
    </row>
    <row r="75" spans="1:23" x14ac:dyDescent="0.25">
      <c r="A75" s="53" t="s">
        <v>27</v>
      </c>
      <c r="B75" s="9">
        <v>23456.21</v>
      </c>
      <c r="C75" s="9">
        <v>34.58</v>
      </c>
      <c r="D75" s="9">
        <v>0.73</v>
      </c>
      <c r="E75" s="10">
        <v>1</v>
      </c>
      <c r="F75" s="11" t="s">
        <v>58</v>
      </c>
      <c r="G75" s="11"/>
      <c r="H75" s="10" t="s">
        <v>59</v>
      </c>
      <c r="I75" s="9">
        <f t="shared" si="6"/>
        <v>809931.51281697198</v>
      </c>
      <c r="J75" s="9">
        <f>B75*C75*((1-D75/100)+D75/100*1.4*1.278)</f>
        <v>815788.70936702844</v>
      </c>
      <c r="K75" s="30">
        <f t="shared" si="7"/>
        <v>822892.89903621352</v>
      </c>
      <c r="L75" s="52" t="s">
        <v>40</v>
      </c>
      <c r="M75" s="9">
        <v>718392.64646708115</v>
      </c>
      <c r="N75" s="81" t="s">
        <v>149</v>
      </c>
      <c r="O75" s="49" t="s">
        <v>150</v>
      </c>
      <c r="P75" s="7">
        <v>1</v>
      </c>
      <c r="Q75" s="8">
        <f>42618.73*16</f>
        <v>681899.68</v>
      </c>
      <c r="R75" s="8" t="e">
        <f>J75-#REF!</f>
        <v>#REF!</v>
      </c>
      <c r="S75" s="8">
        <v>0.73</v>
      </c>
      <c r="T75" s="82">
        <v>0.69</v>
      </c>
      <c r="U75" s="8">
        <f>J75-J75*S75/100</f>
        <v>809833.45178864908</v>
      </c>
      <c r="V75" s="50">
        <f t="shared" si="5"/>
        <v>713435.73720645835</v>
      </c>
      <c r="W75" t="s">
        <v>151</v>
      </c>
    </row>
    <row r="76" spans="1:23" x14ac:dyDescent="0.25">
      <c r="A76" s="210" t="s">
        <v>28</v>
      </c>
      <c r="B76" s="46">
        <v>13285.02</v>
      </c>
      <c r="C76" s="46">
        <v>7.73</v>
      </c>
      <c r="D76" s="46">
        <v>3.76</v>
      </c>
      <c r="E76" s="56">
        <v>1</v>
      </c>
      <c r="F76" s="57" t="s">
        <v>60</v>
      </c>
      <c r="G76" s="57"/>
      <c r="H76" s="56" t="s">
        <v>59</v>
      </c>
      <c r="I76" s="46">
        <f>B76*C76*((1-D76/100)+D76/100*1*1)</f>
        <v>102693.20460000001</v>
      </c>
      <c r="J76" s="212">
        <f>B76*C76*((1-D76/100)+D76/100*1.4*1.278)</f>
        <v>105740.51453784405</v>
      </c>
      <c r="K76" s="30">
        <f>B76*C76*((1-D76/100)+D76/100*1.4*2.135)</f>
        <v>110373.25967649746</v>
      </c>
      <c r="L76" s="46" t="s">
        <v>41</v>
      </c>
      <c r="M76" s="9">
        <v>133575.96041678867</v>
      </c>
      <c r="N76" s="81" t="s">
        <v>129</v>
      </c>
      <c r="O76" s="49" t="s">
        <v>130</v>
      </c>
      <c r="P76" s="7">
        <v>1</v>
      </c>
      <c r="Q76" s="8">
        <f>32947.64*3.75</f>
        <v>123553.65</v>
      </c>
      <c r="R76" s="206" t="e">
        <f>J76-#REF!</f>
        <v>#REF!</v>
      </c>
      <c r="S76" s="206">
        <v>3.76</v>
      </c>
      <c r="T76" s="83">
        <v>15.08</v>
      </c>
      <c r="U76" s="206">
        <f>J76-J76*S76/100</f>
        <v>101764.67119122112</v>
      </c>
      <c r="V76" s="50">
        <f t="shared" si="5"/>
        <v>113432.70558593694</v>
      </c>
      <c r="W76" t="s">
        <v>131</v>
      </c>
    </row>
    <row r="77" spans="1:23" x14ac:dyDescent="0.25">
      <c r="A77" s="216"/>
      <c r="B77" s="46"/>
      <c r="C77" s="46"/>
      <c r="D77" s="46"/>
      <c r="E77" s="56"/>
      <c r="F77" s="57"/>
      <c r="G77" s="57"/>
      <c r="H77" s="56"/>
      <c r="I77" s="46"/>
      <c r="J77" s="217"/>
      <c r="K77" s="30"/>
      <c r="L77" s="209" t="s">
        <v>42</v>
      </c>
      <c r="M77" s="9">
        <v>150227.57548917193</v>
      </c>
      <c r="N77" s="81" t="s">
        <v>152</v>
      </c>
      <c r="O77" s="49" t="s">
        <v>153</v>
      </c>
      <c r="P77" s="7">
        <v>30</v>
      </c>
      <c r="Q77" s="8">
        <f>1300.59*120</f>
        <v>156070.79999999999</v>
      </c>
      <c r="R77" s="215"/>
      <c r="S77" s="215"/>
      <c r="T77" s="83">
        <v>14.91</v>
      </c>
      <c r="U77" s="215"/>
      <c r="V77" s="50">
        <f t="shared" si="5"/>
        <v>127828.6439837364</v>
      </c>
      <c r="W77" t="s">
        <v>185</v>
      </c>
    </row>
    <row r="78" spans="1:23" x14ac:dyDescent="0.25">
      <c r="A78" s="216"/>
      <c r="B78" s="46"/>
      <c r="C78" s="46"/>
      <c r="D78" s="46"/>
      <c r="E78" s="56"/>
      <c r="F78" s="57"/>
      <c r="G78" s="57"/>
      <c r="H78" s="56"/>
      <c r="I78" s="46"/>
      <c r="J78" s="217"/>
      <c r="K78" s="30"/>
      <c r="L78" s="207"/>
      <c r="M78" s="9">
        <v>150227.57548917193</v>
      </c>
      <c r="N78" s="81" t="s">
        <v>152</v>
      </c>
      <c r="O78" s="49" t="s">
        <v>153</v>
      </c>
      <c r="P78" s="7">
        <v>30</v>
      </c>
      <c r="Q78" s="8">
        <f>1300.59*60</f>
        <v>78035.399999999994</v>
      </c>
      <c r="R78" s="215"/>
      <c r="S78" s="215"/>
      <c r="T78" s="83">
        <v>14.91</v>
      </c>
      <c r="U78" s="215"/>
      <c r="V78" s="50">
        <f t="shared" si="5"/>
        <v>127828.6439837364</v>
      </c>
      <c r="W78" t="s">
        <v>186</v>
      </c>
    </row>
    <row r="79" spans="1:23" ht="30" x14ac:dyDescent="0.25">
      <c r="A79" s="216"/>
      <c r="B79" s="46"/>
      <c r="C79" s="46"/>
      <c r="D79" s="46"/>
      <c r="E79" s="56"/>
      <c r="F79" s="57"/>
      <c r="G79" s="57"/>
      <c r="H79" s="56"/>
      <c r="I79" s="46"/>
      <c r="J79" s="217"/>
      <c r="K79" s="30"/>
      <c r="L79" s="207"/>
      <c r="M79" s="9">
        <v>150227.57548917193</v>
      </c>
      <c r="N79" s="81" t="s">
        <v>155</v>
      </c>
      <c r="O79" s="49" t="s">
        <v>156</v>
      </c>
      <c r="P79" s="7">
        <v>28</v>
      </c>
      <c r="Q79" s="8">
        <f>1300.59*56+3256.64*10</f>
        <v>105399.43999999999</v>
      </c>
      <c r="R79" s="215"/>
      <c r="S79" s="215"/>
      <c r="T79" s="83">
        <v>14.91</v>
      </c>
      <c r="U79" s="215"/>
      <c r="V79" s="50">
        <f t="shared" si="5"/>
        <v>127828.6439837364</v>
      </c>
      <c r="W79" t="s">
        <v>187</v>
      </c>
    </row>
    <row r="80" spans="1:23" ht="15" customHeight="1" x14ac:dyDescent="0.25">
      <c r="A80" s="211"/>
      <c r="B80" s="46"/>
      <c r="C80" s="46"/>
      <c r="D80" s="46"/>
      <c r="E80" s="56"/>
      <c r="F80" s="57"/>
      <c r="G80" s="57"/>
      <c r="H80" s="56"/>
      <c r="I80" s="46"/>
      <c r="J80" s="213"/>
      <c r="K80" s="30"/>
      <c r="L80" s="207"/>
      <c r="M80" s="9">
        <v>150227.57548917193</v>
      </c>
      <c r="N80" s="81" t="s">
        <v>155</v>
      </c>
      <c r="O80" s="49" t="s">
        <v>188</v>
      </c>
      <c r="P80" s="7">
        <v>28</v>
      </c>
      <c r="Q80" s="8">
        <f>1300.59*56+3256.64*20</f>
        <v>137965.84</v>
      </c>
      <c r="R80" s="214"/>
      <c r="S80" s="214"/>
      <c r="T80" s="83">
        <v>14.91</v>
      </c>
      <c r="U80" s="214"/>
      <c r="V80" s="50">
        <f t="shared" si="5"/>
        <v>127828.6439837364</v>
      </c>
      <c r="W80" t="s">
        <v>189</v>
      </c>
    </row>
    <row r="81" spans="1:23" ht="15" customHeight="1" x14ac:dyDescent="0.25">
      <c r="A81" s="210" t="s">
        <v>29</v>
      </c>
      <c r="B81" s="46"/>
      <c r="C81" s="46"/>
      <c r="D81" s="46"/>
      <c r="E81" s="56"/>
      <c r="F81" s="57"/>
      <c r="G81" s="57"/>
      <c r="H81" s="56"/>
      <c r="I81" s="46"/>
      <c r="J81" s="212">
        <f>B82*C82*((1-D82/100)+D82/100*1.4*1.278)</f>
        <v>157453.55619474602</v>
      </c>
      <c r="K81" s="30"/>
      <c r="L81" s="207"/>
      <c r="M81" s="9">
        <v>150227.57548917193</v>
      </c>
      <c r="N81" s="81" t="s">
        <v>159</v>
      </c>
      <c r="O81" s="49" t="s">
        <v>160</v>
      </c>
      <c r="P81" s="7">
        <v>21</v>
      </c>
      <c r="Q81" s="8">
        <f>3764.46*21+3256.64*10</f>
        <v>111620.06</v>
      </c>
      <c r="R81" s="59"/>
      <c r="S81" s="59"/>
      <c r="T81" s="83">
        <v>14.91</v>
      </c>
      <c r="U81" s="206">
        <f>J81-J81*S82/100</f>
        <v>146778.20508474225</v>
      </c>
      <c r="V81" s="50">
        <f t="shared" si="5"/>
        <v>127828.6439837364</v>
      </c>
      <c r="W81" t="s">
        <v>190</v>
      </c>
    </row>
    <row r="82" spans="1:23" ht="30" x14ac:dyDescent="0.25">
      <c r="A82" s="216"/>
      <c r="B82" s="46">
        <v>13285.02</v>
      </c>
      <c r="C82" s="46">
        <v>11.25</v>
      </c>
      <c r="D82" s="46">
        <v>6.78</v>
      </c>
      <c r="E82" s="56">
        <v>1</v>
      </c>
      <c r="F82" s="57" t="s">
        <v>60</v>
      </c>
      <c r="G82" s="57"/>
      <c r="H82" s="56" t="s">
        <v>59</v>
      </c>
      <c r="I82" s="46">
        <f>B82*C82*((1-D82/100)+D82/100*1*1)</f>
        <v>149456.47500000001</v>
      </c>
      <c r="J82" s="217"/>
      <c r="K82" s="30">
        <f>B82*C82*((1-D82/100)+D82/100*1.4*2.135)</f>
        <v>169611.30837094499</v>
      </c>
      <c r="L82" s="208"/>
      <c r="M82" s="9">
        <v>150227.57548917193</v>
      </c>
      <c r="N82" s="81" t="s">
        <v>159</v>
      </c>
      <c r="O82" s="49" t="s">
        <v>160</v>
      </c>
      <c r="P82" s="7">
        <v>21</v>
      </c>
      <c r="Q82" s="8">
        <f>3764.46*21+3256.64*20</f>
        <v>144186.46</v>
      </c>
      <c r="R82" s="206" t="e">
        <f>J81-#REF!</f>
        <v>#REF!</v>
      </c>
      <c r="S82" s="206">
        <v>6.78</v>
      </c>
      <c r="T82" s="83">
        <v>14.91</v>
      </c>
      <c r="U82" s="215"/>
      <c r="V82" s="50">
        <f t="shared" si="5"/>
        <v>127828.6439837364</v>
      </c>
      <c r="W82" t="s">
        <v>191</v>
      </c>
    </row>
    <row r="83" spans="1:23" ht="30" x14ac:dyDescent="0.25">
      <c r="A83" s="216"/>
      <c r="B83" s="46"/>
      <c r="C83" s="46"/>
      <c r="D83" s="46"/>
      <c r="E83" s="56"/>
      <c r="F83" s="57"/>
      <c r="G83" s="57"/>
      <c r="H83" s="56"/>
      <c r="I83" s="46"/>
      <c r="J83" s="217"/>
      <c r="K83" s="30"/>
      <c r="L83" s="209" t="s">
        <v>43</v>
      </c>
      <c r="M83" s="9">
        <v>202803.8322007845</v>
      </c>
      <c r="N83" s="81" t="s">
        <v>163</v>
      </c>
      <c r="O83" s="49" t="s">
        <v>164</v>
      </c>
      <c r="P83" s="7">
        <v>21</v>
      </c>
      <c r="Q83" s="8">
        <f>3256.64*10+1895.45*63</f>
        <v>151979.75</v>
      </c>
      <c r="R83" s="215"/>
      <c r="S83" s="215"/>
      <c r="T83" s="83">
        <v>9.99</v>
      </c>
      <c r="U83" s="215"/>
      <c r="V83" s="50">
        <f t="shared" si="5"/>
        <v>182543.72936392613</v>
      </c>
      <c r="W83" t="s">
        <v>192</v>
      </c>
    </row>
    <row r="84" spans="1:23" ht="30" x14ac:dyDescent="0.25">
      <c r="A84" s="211"/>
      <c r="B84" s="46"/>
      <c r="C84" s="46"/>
      <c r="D84" s="46"/>
      <c r="E84" s="56"/>
      <c r="F84" s="57"/>
      <c r="G84" s="57"/>
      <c r="H84" s="56"/>
      <c r="I84" s="46"/>
      <c r="J84" s="213"/>
      <c r="K84" s="30"/>
      <c r="L84" s="207"/>
      <c r="M84" s="9">
        <v>202803.8322007845</v>
      </c>
      <c r="N84" s="81" t="s">
        <v>163</v>
      </c>
      <c r="O84" s="49" t="s">
        <v>164</v>
      </c>
      <c r="P84" s="7">
        <v>21</v>
      </c>
      <c r="Q84" s="8">
        <f>3256.64*20+1895.45*63</f>
        <v>184546.15</v>
      </c>
      <c r="R84" s="208"/>
      <c r="S84" s="214"/>
      <c r="T84" s="83">
        <v>9.99</v>
      </c>
      <c r="U84" s="214"/>
      <c r="V84" s="50">
        <f t="shared" si="5"/>
        <v>182543.72936392613</v>
      </c>
      <c r="W84" t="s">
        <v>193</v>
      </c>
    </row>
    <row r="85" spans="1:23" x14ac:dyDescent="0.25">
      <c r="A85" s="210" t="s">
        <v>30</v>
      </c>
      <c r="B85" s="46">
        <v>13285.02</v>
      </c>
      <c r="C85" s="46">
        <v>15.26</v>
      </c>
      <c r="D85" s="46">
        <v>0.43</v>
      </c>
      <c r="E85" s="56">
        <v>1</v>
      </c>
      <c r="F85" s="57" t="s">
        <v>60</v>
      </c>
      <c r="G85" s="57"/>
      <c r="H85" s="56" t="s">
        <v>59</v>
      </c>
      <c r="I85" s="46">
        <f>B85*C85*((1-D85/100)+D85/100*1*1)</f>
        <v>202729.40520000001</v>
      </c>
      <c r="J85" s="212">
        <f>B85*C85*((1-D85/100)+D85/100*1.4*1.278)</f>
        <v>203417.37960031055</v>
      </c>
      <c r="K85" s="30">
        <f>B85*C85*((1-D85/100)+D85/100*1.4*2.135)</f>
        <v>204463.28898385406</v>
      </c>
      <c r="L85" s="208"/>
      <c r="M85" s="9">
        <v>202803.8322007845</v>
      </c>
      <c r="N85" s="81" t="s">
        <v>132</v>
      </c>
      <c r="O85" s="49" t="s">
        <v>133</v>
      </c>
      <c r="P85" s="7">
        <v>1</v>
      </c>
      <c r="Q85" s="8">
        <f>8610*22.5</f>
        <v>193725</v>
      </c>
      <c r="R85" s="206" t="e">
        <f>J85-#REF!</f>
        <v>#REF!</v>
      </c>
      <c r="S85" s="206">
        <v>0.43</v>
      </c>
      <c r="T85" s="83">
        <v>9.99</v>
      </c>
      <c r="U85" s="206">
        <f>J85-J85*S85/100</f>
        <v>202542.68486802923</v>
      </c>
      <c r="V85" s="50">
        <f t="shared" si="5"/>
        <v>182543.72936392613</v>
      </c>
      <c r="W85" t="s">
        <v>134</v>
      </c>
    </row>
    <row r="86" spans="1:23" x14ac:dyDescent="0.25">
      <c r="A86" s="216"/>
      <c r="B86" s="46"/>
      <c r="C86" s="46"/>
      <c r="D86" s="46"/>
      <c r="E86" s="56"/>
      <c r="F86" s="57"/>
      <c r="G86" s="57"/>
      <c r="H86" s="56"/>
      <c r="I86" s="46"/>
      <c r="J86" s="217"/>
      <c r="K86" s="30"/>
      <c r="L86" s="209" t="s">
        <v>44</v>
      </c>
      <c r="M86" s="9">
        <v>238146.67304038192</v>
      </c>
      <c r="N86" s="81" t="s">
        <v>135</v>
      </c>
      <c r="O86" s="49" t="s">
        <v>136</v>
      </c>
      <c r="P86" s="7">
        <v>1</v>
      </c>
      <c r="Q86" s="8">
        <f>8610*24</f>
        <v>206640</v>
      </c>
      <c r="R86" s="207"/>
      <c r="S86" s="215"/>
      <c r="T86" s="83">
        <v>8.49</v>
      </c>
      <c r="U86" s="207"/>
      <c r="V86" s="50">
        <f t="shared" si="5"/>
        <v>217928.0204992535</v>
      </c>
      <c r="W86" t="s">
        <v>137</v>
      </c>
    </row>
    <row r="87" spans="1:23" x14ac:dyDescent="0.25">
      <c r="A87" s="211"/>
      <c r="B87" s="46"/>
      <c r="C87" s="46"/>
      <c r="D87" s="46"/>
      <c r="E87" s="56"/>
      <c r="F87" s="57"/>
      <c r="G87" s="57"/>
      <c r="H87" s="56"/>
      <c r="I87" s="46"/>
      <c r="J87" s="213"/>
      <c r="K87" s="30"/>
      <c r="L87" s="208"/>
      <c r="M87" s="9">
        <v>238146.67304038192</v>
      </c>
      <c r="N87" s="61" t="s">
        <v>138</v>
      </c>
      <c r="O87" s="49" t="s">
        <v>139</v>
      </c>
      <c r="P87" s="7">
        <v>1</v>
      </c>
      <c r="Q87" s="8">
        <f>17246.62*15</f>
        <v>258699.3</v>
      </c>
      <c r="R87" s="208"/>
      <c r="S87" s="214"/>
      <c r="T87" s="83">
        <v>8.49</v>
      </c>
      <c r="U87" s="208"/>
      <c r="V87" s="50">
        <f t="shared" si="5"/>
        <v>217928.0204992535</v>
      </c>
      <c r="W87" t="s">
        <v>140</v>
      </c>
    </row>
    <row r="88" spans="1:23" x14ac:dyDescent="0.25">
      <c r="A88" s="53" t="s">
        <v>31</v>
      </c>
      <c r="B88" s="46"/>
      <c r="C88" s="46"/>
      <c r="D88" s="46"/>
      <c r="E88" s="56"/>
      <c r="F88" s="57"/>
      <c r="G88" s="57"/>
      <c r="H88" s="56"/>
      <c r="I88" s="46"/>
      <c r="J88" s="46">
        <v>317647.90692367492</v>
      </c>
      <c r="K88" s="30"/>
      <c r="L88" s="209" t="s">
        <v>45</v>
      </c>
      <c r="M88" s="9">
        <v>387288.76938939007</v>
      </c>
      <c r="N88" s="81" t="s">
        <v>141</v>
      </c>
      <c r="O88" s="49" t="s">
        <v>142</v>
      </c>
      <c r="P88" s="7">
        <v>1</v>
      </c>
      <c r="Q88" s="8">
        <f>42618.73*8</f>
        <v>340949.84</v>
      </c>
      <c r="R88" s="47" t="e">
        <f>J88-#REF!</f>
        <v>#REF!</v>
      </c>
      <c r="S88" s="47">
        <v>0.32</v>
      </c>
      <c r="T88" s="83">
        <v>2.82</v>
      </c>
      <c r="U88" s="47">
        <f>J88-J88*S88/100</f>
        <v>316631.43362151919</v>
      </c>
      <c r="V88" s="50">
        <f t="shared" si="5"/>
        <v>376367.22609260929</v>
      </c>
      <c r="W88" t="s">
        <v>143</v>
      </c>
    </row>
    <row r="89" spans="1:23" x14ac:dyDescent="0.25">
      <c r="A89" s="210" t="s">
        <v>32</v>
      </c>
      <c r="B89" s="46">
        <v>13285.02</v>
      </c>
      <c r="C89" s="46">
        <v>35.24</v>
      </c>
      <c r="D89" s="46">
        <v>0.67</v>
      </c>
      <c r="E89" s="56">
        <v>1</v>
      </c>
      <c r="F89" s="57" t="s">
        <v>60</v>
      </c>
      <c r="G89" s="57"/>
      <c r="H89" s="56" t="s">
        <v>59</v>
      </c>
      <c r="I89" s="46">
        <f>B89*C89*((1-D89/100)+D89/100*1*1)</f>
        <v>468164.10480000003</v>
      </c>
      <c r="J89" s="212">
        <f>B89*C89*((1-D89/100)+D89/100*1.4*1.278)</f>
        <v>470639.58804710465</v>
      </c>
      <c r="K89" s="84">
        <f>B89*C89*((1-D89/100)+D89/100*1.4*2.135)</f>
        <v>474403.00010979624</v>
      </c>
      <c r="L89" s="208"/>
      <c r="M89" s="9">
        <v>387288.76938939007</v>
      </c>
      <c r="N89" s="81" t="s">
        <v>144</v>
      </c>
      <c r="O89" s="49" t="s">
        <v>145</v>
      </c>
      <c r="P89" s="7">
        <v>1</v>
      </c>
      <c r="Q89" s="8">
        <f>8610*48</f>
        <v>413280</v>
      </c>
      <c r="R89" s="206" t="e">
        <f>J89-#REF!</f>
        <v>#REF!</v>
      </c>
      <c r="S89" s="206">
        <v>0.67</v>
      </c>
      <c r="T89" s="83">
        <v>2.82</v>
      </c>
      <c r="U89" s="206">
        <f>J89-J89*S89/100</f>
        <v>467486.30280718906</v>
      </c>
      <c r="V89" s="50">
        <f t="shared" si="5"/>
        <v>376367.22609260929</v>
      </c>
      <c r="W89" t="s">
        <v>146</v>
      </c>
    </row>
    <row r="90" spans="1:23" x14ac:dyDescent="0.25">
      <c r="A90" s="211"/>
      <c r="B90" s="46"/>
      <c r="C90" s="46"/>
      <c r="D90" s="46"/>
      <c r="E90" s="56"/>
      <c r="F90" s="57"/>
      <c r="G90" s="57"/>
      <c r="H90" s="56"/>
      <c r="I90" s="46"/>
      <c r="J90" s="213"/>
      <c r="K90" s="72"/>
      <c r="L90" s="52" t="s">
        <v>46</v>
      </c>
      <c r="M90" s="9">
        <v>789765.1942628565</v>
      </c>
      <c r="N90" s="81" t="s">
        <v>149</v>
      </c>
      <c r="O90" s="49" t="s">
        <v>150</v>
      </c>
      <c r="P90" s="7">
        <v>1</v>
      </c>
      <c r="Q90" s="8">
        <f>42618.73*16</f>
        <v>681899.68</v>
      </c>
      <c r="R90" s="208"/>
      <c r="S90" s="214"/>
      <c r="T90" s="83">
        <v>0.23</v>
      </c>
      <c r="U90" s="208"/>
      <c r="V90" s="50">
        <f t="shared" si="5"/>
        <v>787948.73431605194</v>
      </c>
      <c r="W90" t="s">
        <v>151</v>
      </c>
    </row>
    <row r="91" spans="1:23" x14ac:dyDescent="0.25">
      <c r="A91" s="62" t="s">
        <v>32</v>
      </c>
      <c r="B91" s="63"/>
      <c r="C91" s="63"/>
      <c r="D91" s="63"/>
      <c r="E91" s="64"/>
      <c r="F91" s="65"/>
      <c r="G91" s="65"/>
      <c r="H91" s="64"/>
      <c r="I91" s="63"/>
      <c r="J91" s="66">
        <v>470639.58804710465</v>
      </c>
      <c r="K91" s="67"/>
      <c r="L91" s="52" t="s">
        <v>46</v>
      </c>
      <c r="M91" s="50">
        <v>789765.1942628565</v>
      </c>
      <c r="N91" s="7" t="s">
        <v>147</v>
      </c>
      <c r="O91" s="49" t="s">
        <v>148</v>
      </c>
      <c r="P91" s="7">
        <v>1</v>
      </c>
      <c r="Q91" s="51">
        <f>8610*7.5+19135.33*45</f>
        <v>925664.85000000009</v>
      </c>
      <c r="R91" s="85"/>
      <c r="S91" s="8">
        <v>0.67</v>
      </c>
      <c r="T91" s="8">
        <v>0.23</v>
      </c>
      <c r="U91" s="8">
        <f>J91-J91*S91/100</f>
        <v>467486.30280718906</v>
      </c>
      <c r="V91" s="50">
        <f t="shared" si="5"/>
        <v>787948.73431605194</v>
      </c>
      <c r="W91" t="s">
        <v>324</v>
      </c>
    </row>
    <row r="92" spans="1:23" ht="15.75" thickBot="1" x14ac:dyDescent="0.3"/>
    <row r="93" spans="1:23" ht="19.5" thickBot="1" x14ac:dyDescent="0.35">
      <c r="A93" s="232" t="s">
        <v>194</v>
      </c>
      <c r="B93" s="233"/>
      <c r="C93" s="233"/>
      <c r="D93" s="233"/>
      <c r="E93" s="233"/>
      <c r="F93" s="233"/>
      <c r="G93" s="233"/>
      <c r="H93" s="233"/>
      <c r="I93" s="233"/>
      <c r="J93" s="233"/>
      <c r="K93" s="234"/>
      <c r="L93" s="40"/>
      <c r="M93" s="40"/>
      <c r="N93" s="41"/>
      <c r="O93" s="42"/>
      <c r="P93" s="42"/>
      <c r="Q93" s="73"/>
      <c r="R93" s="73"/>
    </row>
    <row r="94" spans="1:23" x14ac:dyDescent="0.25">
      <c r="A94" s="235" t="s">
        <v>112</v>
      </c>
      <c r="B94" s="236" t="s">
        <v>10</v>
      </c>
      <c r="C94" s="236" t="s">
        <v>11</v>
      </c>
      <c r="D94" s="236" t="s">
        <v>12</v>
      </c>
      <c r="E94" s="238" t="s">
        <v>13</v>
      </c>
      <c r="F94" s="238"/>
      <c r="G94" s="238"/>
      <c r="H94" s="236" t="s">
        <v>195</v>
      </c>
      <c r="I94" s="182" t="s">
        <v>15</v>
      </c>
      <c r="J94" s="183" t="s">
        <v>114</v>
      </c>
      <c r="K94" s="182" t="s">
        <v>17</v>
      </c>
      <c r="L94" s="188" t="s">
        <v>115</v>
      </c>
      <c r="M94" s="188" t="s">
        <v>116</v>
      </c>
      <c r="N94" s="227" t="s">
        <v>117</v>
      </c>
      <c r="O94" s="229" t="s">
        <v>169</v>
      </c>
      <c r="P94" s="231" t="s">
        <v>119</v>
      </c>
      <c r="Q94" s="218" t="s">
        <v>120</v>
      </c>
      <c r="R94" s="240" t="s">
        <v>121</v>
      </c>
      <c r="S94" s="242" t="s">
        <v>122</v>
      </c>
      <c r="T94" s="219" t="s">
        <v>123</v>
      </c>
      <c r="U94" s="219" t="s">
        <v>170</v>
      </c>
      <c r="V94" s="183" t="s">
        <v>125</v>
      </c>
      <c r="W94" t="s">
        <v>329</v>
      </c>
    </row>
    <row r="95" spans="1:23" ht="75" x14ac:dyDescent="0.25">
      <c r="A95" s="227"/>
      <c r="B95" s="237"/>
      <c r="C95" s="237"/>
      <c r="D95" s="237"/>
      <c r="E95" s="76" t="s">
        <v>51</v>
      </c>
      <c r="F95" s="76" t="s">
        <v>76</v>
      </c>
      <c r="G95" s="76" t="s">
        <v>128</v>
      </c>
      <c r="H95" s="237"/>
      <c r="I95" s="183"/>
      <c r="J95" s="183"/>
      <c r="K95" s="183"/>
      <c r="L95" s="182"/>
      <c r="M95" s="184"/>
      <c r="N95" s="228"/>
      <c r="O95" s="230"/>
      <c r="P95" s="229"/>
      <c r="Q95" s="219"/>
      <c r="R95" s="241"/>
      <c r="S95" s="240"/>
      <c r="T95" s="219"/>
      <c r="U95" s="219"/>
      <c r="V95" s="183"/>
    </row>
    <row r="96" spans="1:23" x14ac:dyDescent="0.25">
      <c r="A96" s="45" t="s">
        <v>21</v>
      </c>
      <c r="B96" s="9">
        <v>23457</v>
      </c>
      <c r="C96" s="9">
        <v>4.2300000000000004</v>
      </c>
      <c r="D96" s="9">
        <v>17.54</v>
      </c>
      <c r="E96" s="10">
        <v>1</v>
      </c>
      <c r="F96" s="11" t="s">
        <v>69</v>
      </c>
      <c r="G96" s="11"/>
      <c r="H96" s="10">
        <v>1</v>
      </c>
      <c r="I96" s="9">
        <f>B96*C96*((1-D96/100)+D96/100*1*0.9)</f>
        <v>97482.736650600011</v>
      </c>
      <c r="J96" s="9">
        <f>B96*C96*((1-D96/100)+D96/100*1.25*1)</f>
        <v>103574.04337350001</v>
      </c>
      <c r="K96" s="30">
        <f>B96*C96*((1-D96/100)+D96/100*1*1.25)</f>
        <v>103574.04337350001</v>
      </c>
      <c r="L96" s="46" t="s">
        <v>34</v>
      </c>
      <c r="M96" s="9">
        <v>120097.471488</v>
      </c>
      <c r="N96" s="81" t="s">
        <v>129</v>
      </c>
      <c r="O96" s="49" t="s">
        <v>130</v>
      </c>
      <c r="P96" s="7">
        <v>1</v>
      </c>
      <c r="Q96" s="8">
        <f>36381*3.75</f>
        <v>136428.75</v>
      </c>
      <c r="R96" s="8" t="e">
        <f>J96-#REF!</f>
        <v>#REF!</v>
      </c>
      <c r="S96" s="8">
        <v>17.54</v>
      </c>
      <c r="T96" s="8">
        <v>5.84</v>
      </c>
      <c r="U96" s="8">
        <f>J96-S96*J96/100</f>
        <v>85407.15616578811</v>
      </c>
      <c r="V96" s="50">
        <f t="shared" ref="V96:V118" si="8">M96-T96*M96/100</f>
        <v>113083.7791531008</v>
      </c>
      <c r="W96" t="s">
        <v>131</v>
      </c>
    </row>
    <row r="97" spans="1:23" x14ac:dyDescent="0.25">
      <c r="A97" s="210" t="s">
        <v>23</v>
      </c>
      <c r="B97" s="9">
        <v>23457</v>
      </c>
      <c r="C97" s="9">
        <v>8.49</v>
      </c>
      <c r="D97" s="9">
        <v>7.19</v>
      </c>
      <c r="E97" s="10">
        <v>1</v>
      </c>
      <c r="F97" s="11" t="s">
        <v>69</v>
      </c>
      <c r="G97" s="11"/>
      <c r="H97" s="10">
        <v>1</v>
      </c>
      <c r="I97" s="9">
        <f t="shared" ref="I97:I103" si="9">B97*C97*((1-D97/100)+D97/100*1*0.9)</f>
        <v>197718.04200330001</v>
      </c>
      <c r="J97" s="221">
        <f>B97*C97*((1-D97/100)+D97/100*1.25*1)</f>
        <v>202729.64999175002</v>
      </c>
      <c r="K97" s="30">
        <f t="shared" ref="K97:K103" si="10">B97*C97*((1-D97/100)+D97/100*1*1.25)</f>
        <v>202729.64999175002</v>
      </c>
      <c r="L97" s="212" t="s">
        <v>36</v>
      </c>
      <c r="M97" s="9">
        <v>197370.61113600002</v>
      </c>
      <c r="N97" s="81" t="s">
        <v>132</v>
      </c>
      <c r="O97" s="49" t="s">
        <v>133</v>
      </c>
      <c r="P97" s="7">
        <v>1</v>
      </c>
      <c r="Q97" s="8">
        <f>8731.4*22.5</f>
        <v>196456.5</v>
      </c>
      <c r="R97" s="224" t="e">
        <f>J97-#REF!</f>
        <v>#REF!</v>
      </c>
      <c r="S97" s="224">
        <v>7.19</v>
      </c>
      <c r="T97" s="8">
        <v>3.32</v>
      </c>
      <c r="U97" s="224">
        <f>J97-S97*J97/100</f>
        <v>188153.3881573432</v>
      </c>
      <c r="V97" s="50">
        <f t="shared" si="8"/>
        <v>190817.90684628481</v>
      </c>
      <c r="W97" t="s">
        <v>134</v>
      </c>
    </row>
    <row r="98" spans="1:23" x14ac:dyDescent="0.25">
      <c r="A98" s="216"/>
      <c r="B98" s="9"/>
      <c r="C98" s="9"/>
      <c r="D98" s="9"/>
      <c r="E98" s="10"/>
      <c r="F98" s="11"/>
      <c r="G98" s="11"/>
      <c r="H98" s="10"/>
      <c r="I98" s="9"/>
      <c r="J98" s="222"/>
      <c r="K98" s="30"/>
      <c r="L98" s="213"/>
      <c r="M98" s="9">
        <v>197370.61113600002</v>
      </c>
      <c r="N98" s="81" t="s">
        <v>135</v>
      </c>
      <c r="O98" s="49" t="s">
        <v>136</v>
      </c>
      <c r="P98" s="7">
        <v>1</v>
      </c>
      <c r="Q98" s="8">
        <f>8731.4*24</f>
        <v>209553.59999999998</v>
      </c>
      <c r="R98" s="225"/>
      <c r="S98" s="225"/>
      <c r="T98" s="8">
        <v>3.32</v>
      </c>
      <c r="U98" s="225"/>
      <c r="V98" s="50">
        <f t="shared" si="8"/>
        <v>190817.90684628481</v>
      </c>
      <c r="W98" t="s">
        <v>137</v>
      </c>
    </row>
    <row r="99" spans="1:23" x14ac:dyDescent="0.25">
      <c r="A99" s="211"/>
      <c r="B99" s="9"/>
      <c r="C99" s="9"/>
      <c r="D99" s="9"/>
      <c r="E99" s="10"/>
      <c r="F99" s="11"/>
      <c r="G99" s="11"/>
      <c r="H99" s="10"/>
      <c r="I99" s="9"/>
      <c r="J99" s="223"/>
      <c r="K99" s="30"/>
      <c r="L99" s="52" t="s">
        <v>37</v>
      </c>
      <c r="M99" s="9">
        <v>246546.26136</v>
      </c>
      <c r="N99" s="81" t="s">
        <v>138</v>
      </c>
      <c r="O99" s="49" t="s">
        <v>139</v>
      </c>
      <c r="P99" s="7">
        <v>1</v>
      </c>
      <c r="Q99" s="8">
        <f>17090.48*15</f>
        <v>256357.19999999998</v>
      </c>
      <c r="R99" s="226"/>
      <c r="S99" s="226"/>
      <c r="T99" s="8">
        <v>2.15</v>
      </c>
      <c r="U99" s="226"/>
      <c r="V99" s="50">
        <f t="shared" si="8"/>
        <v>241245.51674076001</v>
      </c>
      <c r="W99" t="s">
        <v>140</v>
      </c>
    </row>
    <row r="100" spans="1:23" x14ac:dyDescent="0.25">
      <c r="A100" s="53" t="s">
        <v>24</v>
      </c>
      <c r="B100" s="9"/>
      <c r="C100" s="9"/>
      <c r="D100" s="9"/>
      <c r="E100" s="10"/>
      <c r="F100" s="11"/>
      <c r="G100" s="11"/>
      <c r="H100" s="10"/>
      <c r="I100" s="9"/>
      <c r="J100" s="9">
        <v>315337.62</v>
      </c>
      <c r="K100" s="30"/>
      <c r="L100" s="52" t="s">
        <v>38</v>
      </c>
      <c r="M100" s="9">
        <v>337490.88912000001</v>
      </c>
      <c r="N100" s="54" t="s">
        <v>141</v>
      </c>
      <c r="O100" s="49" t="s">
        <v>142</v>
      </c>
      <c r="P100" s="7">
        <v>1</v>
      </c>
      <c r="Q100" s="8">
        <f>42618.8*8</f>
        <v>340950.4</v>
      </c>
      <c r="R100" s="8" t="e">
        <f>J100-#REF!</f>
        <v>#REF!</v>
      </c>
      <c r="S100" s="8">
        <v>1.89</v>
      </c>
      <c r="T100" s="8">
        <v>1.55</v>
      </c>
      <c r="U100" s="8">
        <f>J100-S100*J100/100</f>
        <v>309377.73898199998</v>
      </c>
      <c r="V100" s="50">
        <f t="shared" si="8"/>
        <v>332259.78033864003</v>
      </c>
      <c r="W100" t="s">
        <v>143</v>
      </c>
    </row>
    <row r="101" spans="1:23" x14ac:dyDescent="0.25">
      <c r="A101" s="53" t="s">
        <v>26</v>
      </c>
      <c r="B101" s="9">
        <v>23457</v>
      </c>
      <c r="C101" s="9">
        <v>17.89</v>
      </c>
      <c r="D101" s="9">
        <v>2.44</v>
      </c>
      <c r="E101" s="10">
        <v>1</v>
      </c>
      <c r="F101" s="11" t="s">
        <v>69</v>
      </c>
      <c r="G101" s="11"/>
      <c r="H101" s="10">
        <v>1</v>
      </c>
      <c r="I101" s="9">
        <f t="shared" si="9"/>
        <v>418621.79441880004</v>
      </c>
      <c r="J101" s="9">
        <f>B101*C101*((1-D101/100)+D101/100*1.25*1)</f>
        <v>422205.56895300001</v>
      </c>
      <c r="K101" s="30">
        <f t="shared" si="10"/>
        <v>422205.56895300001</v>
      </c>
      <c r="L101" s="52" t="s">
        <v>39</v>
      </c>
      <c r="M101" s="9">
        <v>418444.37952000002</v>
      </c>
      <c r="N101" s="81" t="s">
        <v>144</v>
      </c>
      <c r="O101" s="49" t="s">
        <v>145</v>
      </c>
      <c r="P101" s="7">
        <v>1</v>
      </c>
      <c r="Q101" s="8">
        <f>8731.4*48</f>
        <v>419107.19999999995</v>
      </c>
      <c r="R101" s="8" t="e">
        <f>J101-#REF!</f>
        <v>#REF!</v>
      </c>
      <c r="S101" s="8">
        <v>2.44</v>
      </c>
      <c r="T101" s="8">
        <v>1.19</v>
      </c>
      <c r="U101" s="8">
        <f>J101-J101*S101/100</f>
        <v>411903.75307054678</v>
      </c>
      <c r="V101" s="50">
        <f t="shared" si="8"/>
        <v>413464.89140371204</v>
      </c>
      <c r="W101" t="s">
        <v>146</v>
      </c>
    </row>
    <row r="102" spans="1:23" x14ac:dyDescent="0.25">
      <c r="A102" s="55" t="s">
        <v>27</v>
      </c>
      <c r="B102" s="9"/>
      <c r="C102" s="9"/>
      <c r="D102" s="9"/>
      <c r="E102" s="10"/>
      <c r="F102" s="11"/>
      <c r="G102" s="11"/>
      <c r="H102" s="10"/>
      <c r="I102" s="9"/>
      <c r="J102" s="9">
        <v>812623.39608449989</v>
      </c>
      <c r="K102" s="30"/>
      <c r="L102" s="52" t="s">
        <v>40</v>
      </c>
      <c r="M102" s="50">
        <v>708768.03947199997</v>
      </c>
      <c r="N102" t="s">
        <v>147</v>
      </c>
      <c r="O102" s="49" t="s">
        <v>148</v>
      </c>
      <c r="P102" s="7">
        <v>1</v>
      </c>
      <c r="Q102" s="8">
        <f>8731.4*7.5+20947.31*45</f>
        <v>1008114.4500000001</v>
      </c>
      <c r="R102" s="8"/>
      <c r="S102" s="8">
        <v>0.73</v>
      </c>
      <c r="T102" s="8">
        <v>0.69</v>
      </c>
      <c r="U102" s="8">
        <f>J102-J102*S102/100</f>
        <v>806691.24529308302</v>
      </c>
      <c r="V102" s="50">
        <f t="shared" si="8"/>
        <v>703877.53999964322</v>
      </c>
      <c r="W102" t="s">
        <v>324</v>
      </c>
    </row>
    <row r="103" spans="1:23" x14ac:dyDescent="0.25">
      <c r="A103" s="53" t="s">
        <v>27</v>
      </c>
      <c r="B103" s="9">
        <v>23457</v>
      </c>
      <c r="C103" s="9">
        <v>34.58</v>
      </c>
      <c r="D103" s="9">
        <v>0.73</v>
      </c>
      <c r="E103" s="10">
        <v>1</v>
      </c>
      <c r="F103" s="11" t="s">
        <v>69</v>
      </c>
      <c r="G103" s="11"/>
      <c r="H103" s="10">
        <v>1</v>
      </c>
      <c r="I103" s="9">
        <f t="shared" si="9"/>
        <v>810550.92556619993</v>
      </c>
      <c r="J103" s="9">
        <f>B103*C103*((1-D103/100)+D103/100*1.25*1)</f>
        <v>812623.39608449989</v>
      </c>
      <c r="K103" s="30">
        <f t="shared" si="10"/>
        <v>812623.39608449989</v>
      </c>
      <c r="L103" s="52" t="s">
        <v>40</v>
      </c>
      <c r="M103" s="9">
        <v>708768.03947199997</v>
      </c>
      <c r="N103" s="81" t="s">
        <v>149</v>
      </c>
      <c r="O103" s="49" t="s">
        <v>150</v>
      </c>
      <c r="P103" s="7">
        <v>1</v>
      </c>
      <c r="Q103" s="8">
        <f>42618.8*16</f>
        <v>681900.8</v>
      </c>
      <c r="R103" s="8" t="e">
        <f>J103-#REF!</f>
        <v>#REF!</v>
      </c>
      <c r="S103" s="8">
        <v>0.73</v>
      </c>
      <c r="T103" s="8">
        <v>0.69</v>
      </c>
      <c r="U103" s="8">
        <f>J103-J103*S103/100</f>
        <v>806691.24529308302</v>
      </c>
      <c r="V103" s="50">
        <f t="shared" si="8"/>
        <v>703877.53999964322</v>
      </c>
      <c r="W103" t="s">
        <v>151</v>
      </c>
    </row>
    <row r="104" spans="1:23" x14ac:dyDescent="0.25">
      <c r="A104" s="210" t="s">
        <v>28</v>
      </c>
      <c r="B104" s="46">
        <v>13286</v>
      </c>
      <c r="C104" s="46">
        <v>7.73</v>
      </c>
      <c r="D104" s="46">
        <v>3.76</v>
      </c>
      <c r="E104" s="56">
        <v>1</v>
      </c>
      <c r="F104" s="56">
        <v>1</v>
      </c>
      <c r="G104" s="57"/>
      <c r="H104" s="56">
        <v>1</v>
      </c>
      <c r="I104" s="46">
        <f>B104*C104*((1-D104/100)+D104/100*1*1)</f>
        <v>102700.78</v>
      </c>
      <c r="J104" s="212">
        <v>102700.78</v>
      </c>
      <c r="K104" s="30">
        <f>B104*C104*((1-D104/100)+D104/100*1*1)</f>
        <v>102700.78</v>
      </c>
      <c r="L104" s="46" t="s">
        <v>41</v>
      </c>
      <c r="M104" s="9">
        <v>119260.12000000001</v>
      </c>
      <c r="N104" s="81" t="s">
        <v>129</v>
      </c>
      <c r="O104" s="49" t="s">
        <v>130</v>
      </c>
      <c r="P104" s="7">
        <v>1</v>
      </c>
      <c r="Q104" s="8">
        <f>36381*3.75</f>
        <v>136428.75</v>
      </c>
      <c r="R104" s="206" t="e">
        <f>J104-#REF!</f>
        <v>#REF!</v>
      </c>
      <c r="S104" s="206">
        <v>3.76</v>
      </c>
      <c r="T104" s="47">
        <v>15.08</v>
      </c>
      <c r="U104" s="206">
        <f>J104-J104*S104/100</f>
        <v>98839.230672000005</v>
      </c>
      <c r="V104" s="50">
        <f t="shared" si="8"/>
        <v>101275.69390400001</v>
      </c>
      <c r="W104" t="s">
        <v>131</v>
      </c>
    </row>
    <row r="105" spans="1:23" x14ac:dyDescent="0.25">
      <c r="A105" s="216"/>
      <c r="B105" s="46"/>
      <c r="C105" s="46"/>
      <c r="D105" s="46"/>
      <c r="E105" s="56"/>
      <c r="F105" s="56"/>
      <c r="G105" s="57"/>
      <c r="H105" s="56"/>
      <c r="I105" s="46"/>
      <c r="J105" s="217"/>
      <c r="K105" s="30"/>
      <c r="L105" s="209" t="s">
        <v>42</v>
      </c>
      <c r="M105" s="9">
        <v>134289.4</v>
      </c>
      <c r="N105" s="81" t="s">
        <v>152</v>
      </c>
      <c r="O105" s="49" t="s">
        <v>153</v>
      </c>
      <c r="P105" s="7">
        <v>30</v>
      </c>
      <c r="Q105" s="8">
        <f>1425*60</f>
        <v>85500</v>
      </c>
      <c r="R105" s="215"/>
      <c r="S105" s="215"/>
      <c r="T105" s="47">
        <v>14.91</v>
      </c>
      <c r="U105" s="215"/>
      <c r="V105" s="50">
        <f t="shared" si="8"/>
        <v>114266.85045999999</v>
      </c>
      <c r="W105" t="s">
        <v>196</v>
      </c>
    </row>
    <row r="106" spans="1:23" ht="30" x14ac:dyDescent="0.25">
      <c r="A106" s="216"/>
      <c r="B106" s="46"/>
      <c r="C106" s="46"/>
      <c r="D106" s="46"/>
      <c r="E106" s="56"/>
      <c r="F106" s="56"/>
      <c r="G106" s="57"/>
      <c r="H106" s="56"/>
      <c r="I106" s="46"/>
      <c r="J106" s="217"/>
      <c r="K106" s="30"/>
      <c r="L106" s="207"/>
      <c r="M106" s="9">
        <v>134289.4</v>
      </c>
      <c r="N106" s="81" t="s">
        <v>155</v>
      </c>
      <c r="O106" s="49" t="s">
        <v>156</v>
      </c>
      <c r="P106" s="7">
        <v>28</v>
      </c>
      <c r="Q106" s="8">
        <f>1425*56+3176.41*10</f>
        <v>111564.1</v>
      </c>
      <c r="R106" s="215"/>
      <c r="S106" s="215"/>
      <c r="T106" s="47">
        <v>14.91</v>
      </c>
      <c r="U106" s="215"/>
      <c r="V106" s="50">
        <f t="shared" si="8"/>
        <v>114266.85045999999</v>
      </c>
      <c r="W106" t="s">
        <v>197</v>
      </c>
    </row>
    <row r="107" spans="1:23" ht="30" x14ac:dyDescent="0.25">
      <c r="A107" s="211"/>
      <c r="B107" s="46"/>
      <c r="C107" s="46"/>
      <c r="D107" s="46"/>
      <c r="E107" s="56"/>
      <c r="F107" s="56"/>
      <c r="G107" s="57"/>
      <c r="H107" s="56"/>
      <c r="I107" s="46"/>
      <c r="J107" s="213"/>
      <c r="K107" s="30"/>
      <c r="L107" s="207"/>
      <c r="M107" s="9">
        <v>134289.4</v>
      </c>
      <c r="N107" s="81" t="s">
        <v>155</v>
      </c>
      <c r="O107" s="49" t="s">
        <v>156</v>
      </c>
      <c r="P107" s="7">
        <v>28</v>
      </c>
      <c r="Q107" s="8">
        <f>1425*56+3176.41*20</f>
        <v>143328.20000000001</v>
      </c>
      <c r="R107" s="214"/>
      <c r="S107" s="214"/>
      <c r="T107" s="47">
        <v>14.91</v>
      </c>
      <c r="U107" s="214"/>
      <c r="V107" s="50">
        <f t="shared" si="8"/>
        <v>114266.85045999999</v>
      </c>
      <c r="W107" t="s">
        <v>198</v>
      </c>
    </row>
    <row r="108" spans="1:23" ht="30" x14ac:dyDescent="0.25">
      <c r="A108" s="210" t="s">
        <v>29</v>
      </c>
      <c r="B108" s="46"/>
      <c r="C108" s="46"/>
      <c r="D108" s="46"/>
      <c r="E108" s="56"/>
      <c r="F108" s="56"/>
      <c r="G108" s="57"/>
      <c r="H108" s="56"/>
      <c r="I108" s="46"/>
      <c r="J108" s="212">
        <v>149467.5</v>
      </c>
      <c r="K108" s="30"/>
      <c r="L108" s="207"/>
      <c r="M108" s="9">
        <v>134289.4</v>
      </c>
      <c r="N108" s="81" t="s">
        <v>159</v>
      </c>
      <c r="O108" s="49" t="s">
        <v>160</v>
      </c>
      <c r="P108" s="7">
        <v>21</v>
      </c>
      <c r="Q108" s="8">
        <f>3567.63*21+3176.41*10</f>
        <v>106684.32999999999</v>
      </c>
      <c r="R108" s="59"/>
      <c r="S108" s="59"/>
      <c r="T108" s="47">
        <v>14.91</v>
      </c>
      <c r="U108" s="206">
        <f>J108-J108*S109/100</f>
        <v>139333.6035</v>
      </c>
      <c r="V108" s="50">
        <f t="shared" si="8"/>
        <v>114266.85045999999</v>
      </c>
      <c r="W108" t="s">
        <v>199</v>
      </c>
    </row>
    <row r="109" spans="1:23" ht="15" customHeight="1" x14ac:dyDescent="0.25">
      <c r="A109" s="216"/>
      <c r="B109" s="46">
        <v>13286</v>
      </c>
      <c r="C109" s="46">
        <v>11.25</v>
      </c>
      <c r="D109" s="46">
        <v>6.78</v>
      </c>
      <c r="E109" s="56">
        <v>1</v>
      </c>
      <c r="F109" s="56">
        <v>1</v>
      </c>
      <c r="G109" s="57"/>
      <c r="H109" s="56">
        <v>1</v>
      </c>
      <c r="I109" s="46">
        <f>B109*C109*((1-D109/100)+D109/100*1*1)</f>
        <v>149467.5</v>
      </c>
      <c r="J109" s="217"/>
      <c r="K109" s="30">
        <f>B109*C109*((1-D109/100)+D109/100*1*1)</f>
        <v>149467.5</v>
      </c>
      <c r="L109" s="208"/>
      <c r="M109" s="9">
        <v>134289.4</v>
      </c>
      <c r="N109" s="81" t="s">
        <v>159</v>
      </c>
      <c r="O109" s="49" t="s">
        <v>160</v>
      </c>
      <c r="P109" s="7">
        <v>21</v>
      </c>
      <c r="Q109" s="8">
        <f>3567.63*21+3176.41*20</f>
        <v>138448.43</v>
      </c>
      <c r="R109" s="206" t="e">
        <f>J108-#REF!</f>
        <v>#REF!</v>
      </c>
      <c r="S109" s="206">
        <v>6.78</v>
      </c>
      <c r="T109" s="47">
        <v>14.91</v>
      </c>
      <c r="U109" s="215"/>
      <c r="V109" s="50">
        <f t="shared" si="8"/>
        <v>114266.85045999999</v>
      </c>
      <c r="W109" t="s">
        <v>200</v>
      </c>
    </row>
    <row r="110" spans="1:23" ht="15" customHeight="1" x14ac:dyDescent="0.25">
      <c r="A110" s="216"/>
      <c r="B110" s="46"/>
      <c r="C110" s="46"/>
      <c r="D110" s="46"/>
      <c r="E110" s="56"/>
      <c r="F110" s="56"/>
      <c r="G110" s="57"/>
      <c r="H110" s="56"/>
      <c r="I110" s="46"/>
      <c r="J110" s="217"/>
      <c r="K110" s="30"/>
      <c r="L110" s="209" t="s">
        <v>43</v>
      </c>
      <c r="M110" s="9">
        <v>187866</v>
      </c>
      <c r="N110" s="81" t="s">
        <v>163</v>
      </c>
      <c r="O110" s="49" t="s">
        <v>164</v>
      </c>
      <c r="P110" s="7">
        <v>21</v>
      </c>
      <c r="Q110" s="8">
        <f>3176.41*10+1909.43*63</f>
        <v>152058.19</v>
      </c>
      <c r="R110" s="215"/>
      <c r="S110" s="215"/>
      <c r="T110" s="47">
        <v>9.99</v>
      </c>
      <c r="U110" s="215"/>
      <c r="V110" s="50">
        <f t="shared" si="8"/>
        <v>169098.18660000002</v>
      </c>
      <c r="W110" t="s">
        <v>201</v>
      </c>
    </row>
    <row r="111" spans="1:23" ht="30" x14ac:dyDescent="0.25">
      <c r="A111" s="211"/>
      <c r="B111" s="46"/>
      <c r="C111" s="46"/>
      <c r="D111" s="46"/>
      <c r="E111" s="56"/>
      <c r="F111" s="56"/>
      <c r="G111" s="57"/>
      <c r="H111" s="56"/>
      <c r="I111" s="46"/>
      <c r="J111" s="213"/>
      <c r="K111" s="30"/>
      <c r="L111" s="207"/>
      <c r="M111" s="9">
        <v>187866</v>
      </c>
      <c r="N111" s="81" t="s">
        <v>163</v>
      </c>
      <c r="O111" s="49" t="s">
        <v>164</v>
      </c>
      <c r="P111" s="7">
        <v>21</v>
      </c>
      <c r="Q111" s="8">
        <f>3176.41*20+1909.43*63</f>
        <v>183822.29</v>
      </c>
      <c r="R111" s="208"/>
      <c r="S111" s="214"/>
      <c r="T111" s="47">
        <v>9.99</v>
      </c>
      <c r="U111" s="214"/>
      <c r="V111" s="50">
        <f t="shared" si="8"/>
        <v>169098.18660000002</v>
      </c>
      <c r="W111" t="s">
        <v>202</v>
      </c>
    </row>
    <row r="112" spans="1:23" x14ac:dyDescent="0.25">
      <c r="A112" s="210" t="s">
        <v>30</v>
      </c>
      <c r="B112" s="46">
        <v>13286</v>
      </c>
      <c r="C112" s="46">
        <v>15.26</v>
      </c>
      <c r="D112" s="46">
        <v>0.43</v>
      </c>
      <c r="E112" s="56">
        <v>1</v>
      </c>
      <c r="F112" s="56">
        <v>1</v>
      </c>
      <c r="G112" s="57"/>
      <c r="H112" s="56">
        <v>1</v>
      </c>
      <c r="I112" s="46">
        <f>B112*C112*((1-D112/100)+D112/100*1*1)</f>
        <v>202744.36</v>
      </c>
      <c r="J112" s="212">
        <v>202744.36</v>
      </c>
      <c r="K112" s="30">
        <f>B112*C112*((1-D112/100)+D112/100*1*1)</f>
        <v>202744.36</v>
      </c>
      <c r="L112" s="208"/>
      <c r="M112" s="9">
        <v>187866</v>
      </c>
      <c r="N112" s="81" t="s">
        <v>132</v>
      </c>
      <c r="O112" s="49" t="s">
        <v>133</v>
      </c>
      <c r="P112" s="7">
        <v>1</v>
      </c>
      <c r="Q112" s="8">
        <f>8731.4*22.5</f>
        <v>196456.5</v>
      </c>
      <c r="R112" s="206" t="e">
        <f>J112-#REF!</f>
        <v>#REF!</v>
      </c>
      <c r="S112" s="206">
        <v>0.43</v>
      </c>
      <c r="T112" s="47">
        <v>9.99</v>
      </c>
      <c r="U112" s="206">
        <f>J112-J112*S112/100</f>
        <v>201872.55925199998</v>
      </c>
      <c r="V112" s="50">
        <f t="shared" si="8"/>
        <v>169098.18660000002</v>
      </c>
      <c r="W112" t="s">
        <v>134</v>
      </c>
    </row>
    <row r="113" spans="1:23" x14ac:dyDescent="0.25">
      <c r="A113" s="216"/>
      <c r="B113" s="46"/>
      <c r="C113" s="46"/>
      <c r="D113" s="46"/>
      <c r="E113" s="56"/>
      <c r="F113" s="56"/>
      <c r="G113" s="57"/>
      <c r="H113" s="56"/>
      <c r="I113" s="46"/>
      <c r="J113" s="217"/>
      <c r="K113" s="30"/>
      <c r="L113" s="209" t="s">
        <v>44</v>
      </c>
      <c r="M113" s="9">
        <v>223073.48</v>
      </c>
      <c r="N113" s="81" t="s">
        <v>135</v>
      </c>
      <c r="O113" s="49" t="s">
        <v>136</v>
      </c>
      <c r="P113" s="7">
        <v>1</v>
      </c>
      <c r="Q113" s="8">
        <f>8731.4*24</f>
        <v>209553.59999999998</v>
      </c>
      <c r="R113" s="207"/>
      <c r="S113" s="215"/>
      <c r="T113" s="47">
        <v>8.49</v>
      </c>
      <c r="U113" s="207"/>
      <c r="V113" s="50">
        <f t="shared" si="8"/>
        <v>204134.54154800001</v>
      </c>
      <c r="W113" t="s">
        <v>137</v>
      </c>
    </row>
    <row r="114" spans="1:23" x14ac:dyDescent="0.25">
      <c r="A114" s="211"/>
      <c r="B114" s="46"/>
      <c r="C114" s="46"/>
      <c r="D114" s="46"/>
      <c r="E114" s="56"/>
      <c r="F114" s="56"/>
      <c r="G114" s="57"/>
      <c r="H114" s="56"/>
      <c r="I114" s="46"/>
      <c r="J114" s="213"/>
      <c r="K114" s="30"/>
      <c r="L114" s="208"/>
      <c r="M114" s="9">
        <v>223073.48</v>
      </c>
      <c r="N114" s="61" t="s">
        <v>138</v>
      </c>
      <c r="O114" s="49" t="s">
        <v>139</v>
      </c>
      <c r="P114" s="7">
        <v>1</v>
      </c>
      <c r="Q114" s="8">
        <f>17090.48*15</f>
        <v>256357.19999999998</v>
      </c>
      <c r="R114" s="208"/>
      <c r="S114" s="214"/>
      <c r="T114" s="47">
        <v>8.49</v>
      </c>
      <c r="U114" s="208"/>
      <c r="V114" s="50">
        <f t="shared" si="8"/>
        <v>204134.54154800001</v>
      </c>
      <c r="W114" t="s">
        <v>140</v>
      </c>
    </row>
    <row r="115" spans="1:23" x14ac:dyDescent="0.25">
      <c r="A115" s="53" t="s">
        <v>31</v>
      </c>
      <c r="B115" s="46"/>
      <c r="C115" s="46"/>
      <c r="D115" s="46"/>
      <c r="E115" s="56"/>
      <c r="F115" s="56"/>
      <c r="G115" s="57"/>
      <c r="H115" s="56"/>
      <c r="I115" s="46"/>
      <c r="J115" s="9">
        <v>316871.10000000003</v>
      </c>
      <c r="K115" s="30"/>
      <c r="L115" s="209" t="s">
        <v>45</v>
      </c>
      <c r="M115" s="9">
        <v>378793.51999999996</v>
      </c>
      <c r="N115" s="81" t="s">
        <v>141</v>
      </c>
      <c r="O115" s="49" t="s">
        <v>142</v>
      </c>
      <c r="P115" s="7">
        <v>1</v>
      </c>
      <c r="Q115" s="8">
        <f>42618.8*8</f>
        <v>340950.4</v>
      </c>
      <c r="R115" s="47" t="e">
        <f>J115-#REF!</f>
        <v>#REF!</v>
      </c>
      <c r="S115" s="47">
        <v>0.32</v>
      </c>
      <c r="T115" s="47">
        <v>2.82</v>
      </c>
      <c r="U115" s="47">
        <f>J115-J115*S115/100</f>
        <v>315857.11248000001</v>
      </c>
      <c r="V115" s="50">
        <f t="shared" si="8"/>
        <v>368111.54273599997</v>
      </c>
      <c r="W115" t="s">
        <v>143</v>
      </c>
    </row>
    <row r="116" spans="1:23" x14ac:dyDescent="0.25">
      <c r="A116" s="210" t="s">
        <v>32</v>
      </c>
      <c r="B116" s="46">
        <v>13286</v>
      </c>
      <c r="C116" s="46">
        <v>35.24</v>
      </c>
      <c r="D116" s="46">
        <v>0.67</v>
      </c>
      <c r="E116" s="56">
        <v>1</v>
      </c>
      <c r="F116" s="56">
        <v>1</v>
      </c>
      <c r="G116" s="57"/>
      <c r="H116" s="56">
        <v>1</v>
      </c>
      <c r="I116" s="46">
        <f>B116*C116*((1-D116/100)+D116/100*1*1)</f>
        <v>468198.64</v>
      </c>
      <c r="J116" s="212">
        <v>468198.64</v>
      </c>
      <c r="K116" s="30">
        <f>B116*C116*((1-D116/100)+D116/100*1*1)</f>
        <v>468198.64</v>
      </c>
      <c r="L116" s="208"/>
      <c r="M116" s="9">
        <v>378793.51999999996</v>
      </c>
      <c r="N116" s="81" t="s">
        <v>144</v>
      </c>
      <c r="O116" s="49" t="s">
        <v>145</v>
      </c>
      <c r="P116" s="7">
        <v>1</v>
      </c>
      <c r="Q116" s="8">
        <f>8731.4*48</f>
        <v>419107.19999999995</v>
      </c>
      <c r="R116" s="206" t="e">
        <f>J116-#REF!</f>
        <v>#REF!</v>
      </c>
      <c r="S116" s="206">
        <v>0.67</v>
      </c>
      <c r="T116" s="47">
        <v>2.82</v>
      </c>
      <c r="U116" s="206">
        <f>J116-J116*S116/100</f>
        <v>465061.70911200001</v>
      </c>
      <c r="V116" s="50">
        <f t="shared" si="8"/>
        <v>368111.54273599997</v>
      </c>
      <c r="W116" t="s">
        <v>146</v>
      </c>
    </row>
    <row r="117" spans="1:23" x14ac:dyDescent="0.25">
      <c r="A117" s="211"/>
      <c r="B117" s="46"/>
      <c r="C117" s="46"/>
      <c r="D117" s="46"/>
      <c r="E117" s="56"/>
      <c r="F117" s="56"/>
      <c r="G117" s="57"/>
      <c r="H117" s="56"/>
      <c r="I117" s="46"/>
      <c r="J117" s="213"/>
      <c r="K117" s="72"/>
      <c r="L117" s="52" t="s">
        <v>46</v>
      </c>
      <c r="M117" s="9">
        <v>788341.4</v>
      </c>
      <c r="N117" s="81" t="s">
        <v>149</v>
      </c>
      <c r="O117" s="49" t="s">
        <v>150</v>
      </c>
      <c r="P117" s="7">
        <v>1</v>
      </c>
      <c r="Q117" s="86">
        <f>42618.8*16</f>
        <v>681900.8</v>
      </c>
      <c r="R117" s="208"/>
      <c r="S117" s="214"/>
      <c r="T117" s="47">
        <v>0.23</v>
      </c>
      <c r="U117" s="208"/>
      <c r="V117" s="50">
        <f t="shared" si="8"/>
        <v>786528.21478000004</v>
      </c>
      <c r="W117" t="s">
        <v>151</v>
      </c>
    </row>
    <row r="118" spans="1:23" x14ac:dyDescent="0.25">
      <c r="A118" s="62" t="s">
        <v>32</v>
      </c>
      <c r="B118" s="63"/>
      <c r="C118" s="63"/>
      <c r="D118" s="63"/>
      <c r="E118" s="64"/>
      <c r="F118" s="65"/>
      <c r="G118" s="65"/>
      <c r="H118" s="64"/>
      <c r="I118" s="63"/>
      <c r="J118" s="66">
        <v>468198.64</v>
      </c>
      <c r="K118" s="67"/>
      <c r="L118" s="52" t="s">
        <v>46</v>
      </c>
      <c r="M118" s="50">
        <v>788341.4</v>
      </c>
      <c r="N118" s="7" t="s">
        <v>147</v>
      </c>
      <c r="O118" s="49" t="s">
        <v>148</v>
      </c>
      <c r="P118" s="7">
        <v>1</v>
      </c>
      <c r="Q118" s="51">
        <f>8731.4*7.5+20947.31*45</f>
        <v>1008114.4500000001</v>
      </c>
      <c r="S118" s="8">
        <v>0.67</v>
      </c>
      <c r="T118" s="8">
        <v>0.23</v>
      </c>
      <c r="U118" s="8">
        <f>J118-J118*S118/100</f>
        <v>465061.70911200001</v>
      </c>
      <c r="V118" s="50">
        <f t="shared" si="8"/>
        <v>786528.21478000004</v>
      </c>
      <c r="W118" t="s">
        <v>324</v>
      </c>
    </row>
    <row r="119" spans="1:23" ht="15.75" thickBot="1" x14ac:dyDescent="0.3"/>
    <row r="120" spans="1:23" ht="19.5" thickBot="1" x14ac:dyDescent="0.35">
      <c r="A120" s="232" t="s">
        <v>203</v>
      </c>
      <c r="B120" s="233"/>
      <c r="C120" s="233"/>
      <c r="D120" s="233"/>
      <c r="E120" s="233"/>
      <c r="F120" s="233"/>
      <c r="G120" s="233"/>
      <c r="H120" s="233"/>
      <c r="I120" s="233"/>
      <c r="J120" s="233"/>
      <c r="K120" s="234"/>
      <c r="L120" s="40"/>
      <c r="M120" s="40"/>
      <c r="N120" s="41"/>
      <c r="O120" s="42"/>
      <c r="P120" s="42"/>
      <c r="Q120" s="73"/>
      <c r="R120" s="73"/>
    </row>
    <row r="121" spans="1:23" ht="15" customHeight="1" x14ac:dyDescent="0.25">
      <c r="A121" s="235" t="s">
        <v>112</v>
      </c>
      <c r="B121" s="236" t="s">
        <v>10</v>
      </c>
      <c r="C121" s="236" t="s">
        <v>11</v>
      </c>
      <c r="D121" s="236" t="s">
        <v>12</v>
      </c>
      <c r="E121" s="238" t="s">
        <v>13</v>
      </c>
      <c r="F121" s="238"/>
      <c r="G121" s="238"/>
      <c r="H121" s="236" t="s">
        <v>195</v>
      </c>
      <c r="I121" s="182" t="s">
        <v>15</v>
      </c>
      <c r="J121" s="183" t="s">
        <v>114</v>
      </c>
      <c r="K121" s="182" t="s">
        <v>17</v>
      </c>
      <c r="L121" s="188" t="s">
        <v>115</v>
      </c>
      <c r="M121" s="188" t="s">
        <v>116</v>
      </c>
      <c r="N121" s="227" t="s">
        <v>117</v>
      </c>
      <c r="O121" s="229" t="s">
        <v>169</v>
      </c>
      <c r="P121" s="231" t="s">
        <v>119</v>
      </c>
      <c r="Q121" s="218" t="s">
        <v>120</v>
      </c>
      <c r="R121" s="240" t="s">
        <v>121</v>
      </c>
      <c r="S121" s="220" t="s">
        <v>122</v>
      </c>
      <c r="T121" s="219" t="s">
        <v>123</v>
      </c>
      <c r="U121" s="219" t="s">
        <v>170</v>
      </c>
      <c r="V121" s="183" t="s">
        <v>125</v>
      </c>
      <c r="W121" t="s">
        <v>329</v>
      </c>
    </row>
    <row r="122" spans="1:23" ht="75" x14ac:dyDescent="0.25">
      <c r="A122" s="227"/>
      <c r="B122" s="237"/>
      <c r="C122" s="237"/>
      <c r="D122" s="237"/>
      <c r="E122" s="76" t="s">
        <v>51</v>
      </c>
      <c r="F122" s="76" t="s">
        <v>76</v>
      </c>
      <c r="G122" s="76" t="s">
        <v>128</v>
      </c>
      <c r="H122" s="237"/>
      <c r="I122" s="183"/>
      <c r="J122" s="183"/>
      <c r="K122" s="183"/>
      <c r="L122" s="184"/>
      <c r="M122" s="184"/>
      <c r="N122" s="228"/>
      <c r="O122" s="230"/>
      <c r="P122" s="229"/>
      <c r="Q122" s="219"/>
      <c r="R122" s="241"/>
      <c r="S122" s="218"/>
      <c r="T122" s="219"/>
      <c r="U122" s="219"/>
      <c r="V122" s="183"/>
    </row>
    <row r="123" spans="1:23" x14ac:dyDescent="0.25">
      <c r="A123" s="45" t="s">
        <v>21</v>
      </c>
      <c r="B123" s="9">
        <v>23456.2</v>
      </c>
      <c r="C123" s="9">
        <v>4.2300000000000004</v>
      </c>
      <c r="D123" s="9">
        <v>17.54</v>
      </c>
      <c r="E123" s="10">
        <v>1</v>
      </c>
      <c r="F123" s="11" t="s">
        <v>77</v>
      </c>
      <c r="G123" s="11"/>
      <c r="H123" s="11">
        <v>1.105</v>
      </c>
      <c r="I123" s="9">
        <f>B123*C123*((1-D123/100)+D123/100*0.9*1.105)</f>
        <v>99124.008730327812</v>
      </c>
      <c r="J123" s="9">
        <f>B123*C123*((1-D123/100)+D123/100*1.28*1.105)</f>
        <v>106431.58719130176</v>
      </c>
      <c r="K123" s="30">
        <f>B123*C123*((1-D123/100)+D123/100*1.28*1.105)</f>
        <v>106431.58719130176</v>
      </c>
      <c r="L123" s="46" t="s">
        <v>34</v>
      </c>
      <c r="M123" s="9">
        <v>121773.07533137816</v>
      </c>
      <c r="N123" s="48" t="s">
        <v>129</v>
      </c>
      <c r="O123" s="49" t="s">
        <v>130</v>
      </c>
      <c r="P123" s="7">
        <v>1</v>
      </c>
      <c r="Q123" s="8">
        <f>32947.64*3.75</f>
        <v>123553.65</v>
      </c>
      <c r="R123" s="8" t="e">
        <f>J123-#REF!</f>
        <v>#REF!</v>
      </c>
      <c r="S123" s="8">
        <v>17.54</v>
      </c>
      <c r="T123" s="82">
        <v>5.84</v>
      </c>
      <c r="U123" s="8">
        <f>J123-S123*J123/100</f>
        <v>87763.486797947437</v>
      </c>
      <c r="V123" s="50">
        <f t="shared" ref="V123:V146" si="11">M123-T123*M123/100</f>
        <v>114661.52773202567</v>
      </c>
      <c r="W123" t="s">
        <v>131</v>
      </c>
    </row>
    <row r="124" spans="1:23" x14ac:dyDescent="0.25">
      <c r="A124" s="210" t="s">
        <v>23</v>
      </c>
      <c r="B124" s="9">
        <v>23456.2</v>
      </c>
      <c r="C124" s="9">
        <v>8.49</v>
      </c>
      <c r="D124" s="9">
        <v>7.19</v>
      </c>
      <c r="E124" s="10">
        <v>1</v>
      </c>
      <c r="F124" s="11" t="s">
        <v>77</v>
      </c>
      <c r="G124" s="11"/>
      <c r="H124" s="11">
        <v>1.105</v>
      </c>
      <c r="I124" s="9">
        <f t="shared" ref="I124:I130" si="12">B124*C124*((1-D124/100)+D124/100*0.9*1.105)</f>
        <v>199064.38684607792</v>
      </c>
      <c r="J124" s="221">
        <f>B124*C124*((1-D124/100)+D124/100*1.28*1.105)</f>
        <v>205076.67948823969</v>
      </c>
      <c r="K124" s="30">
        <f t="shared" ref="K124:K130" si="13">B124*C124*((1-D124/100)+D124/100*1.28*1.105)</f>
        <v>205076.67948823969</v>
      </c>
      <c r="L124" s="212" t="s">
        <v>36</v>
      </c>
      <c r="M124" s="9">
        <v>199321.49548563667</v>
      </c>
      <c r="N124" s="48" t="s">
        <v>132</v>
      </c>
      <c r="O124" s="49" t="s">
        <v>133</v>
      </c>
      <c r="P124" s="7">
        <v>1</v>
      </c>
      <c r="Q124" s="8">
        <f>8614.91*22.5</f>
        <v>193835.47500000001</v>
      </c>
      <c r="R124" s="224" t="e">
        <f>J124-#REF!</f>
        <v>#REF!</v>
      </c>
      <c r="S124" s="224">
        <v>7.19</v>
      </c>
      <c r="T124" s="82">
        <v>3.32</v>
      </c>
      <c r="U124" s="224">
        <f>J124-S124*J124/100</f>
        <v>190331.66623303527</v>
      </c>
      <c r="V124" s="50">
        <f t="shared" si="11"/>
        <v>192704.02183551353</v>
      </c>
      <c r="W124" t="s">
        <v>134</v>
      </c>
    </row>
    <row r="125" spans="1:23" x14ac:dyDescent="0.25">
      <c r="A125" s="216"/>
      <c r="B125" s="9"/>
      <c r="C125" s="9"/>
      <c r="D125" s="9"/>
      <c r="E125" s="10"/>
      <c r="F125" s="11"/>
      <c r="G125" s="11"/>
      <c r="H125" s="11"/>
      <c r="I125" s="9"/>
      <c r="J125" s="222"/>
      <c r="K125" s="30"/>
      <c r="L125" s="213"/>
      <c r="M125" s="9">
        <v>199321.49548563667</v>
      </c>
      <c r="N125" s="48" t="s">
        <v>135</v>
      </c>
      <c r="O125" s="49" t="s">
        <v>136</v>
      </c>
      <c r="P125" s="7">
        <v>1</v>
      </c>
      <c r="Q125" s="8">
        <f>8614.91*24</f>
        <v>206757.84</v>
      </c>
      <c r="R125" s="225"/>
      <c r="S125" s="225"/>
      <c r="T125" s="82">
        <v>3.32</v>
      </c>
      <c r="U125" s="225"/>
      <c r="V125" s="50">
        <f t="shared" si="11"/>
        <v>192704.02183551353</v>
      </c>
      <c r="W125" t="s">
        <v>137</v>
      </c>
    </row>
    <row r="126" spans="1:23" x14ac:dyDescent="0.25">
      <c r="A126" s="211"/>
      <c r="B126" s="9"/>
      <c r="C126" s="9"/>
      <c r="D126" s="9"/>
      <c r="E126" s="10"/>
      <c r="F126" s="11"/>
      <c r="G126" s="11"/>
      <c r="H126" s="11"/>
      <c r="I126" s="9"/>
      <c r="J126" s="223"/>
      <c r="K126" s="30"/>
      <c r="L126" s="52" t="s">
        <v>37</v>
      </c>
      <c r="M126" s="9">
        <v>248513.3270184967</v>
      </c>
      <c r="N126" s="48" t="s">
        <v>138</v>
      </c>
      <c r="O126" s="49" t="s">
        <v>139</v>
      </c>
      <c r="P126" s="7">
        <v>1</v>
      </c>
      <c r="Q126" s="8">
        <f>16675.03*15</f>
        <v>250125.44999999998</v>
      </c>
      <c r="R126" s="226"/>
      <c r="S126" s="226"/>
      <c r="T126" s="82">
        <v>2.15</v>
      </c>
      <c r="U126" s="226"/>
      <c r="V126" s="50">
        <f t="shared" si="11"/>
        <v>243170.29048759901</v>
      </c>
      <c r="W126" t="s">
        <v>140</v>
      </c>
    </row>
    <row r="127" spans="1:23" x14ac:dyDescent="0.25">
      <c r="A127" s="53" t="s">
        <v>24</v>
      </c>
      <c r="B127" s="9"/>
      <c r="C127" s="9"/>
      <c r="D127" s="9"/>
      <c r="E127" s="10"/>
      <c r="F127" s="11"/>
      <c r="G127" s="11"/>
      <c r="H127" s="11"/>
      <c r="I127" s="9"/>
      <c r="J127" s="9">
        <v>316302.03000000003</v>
      </c>
      <c r="K127" s="30"/>
      <c r="L127" s="52" t="s">
        <v>38</v>
      </c>
      <c r="M127" s="9">
        <v>339852.24517560616</v>
      </c>
      <c r="N127" s="78" t="s">
        <v>141</v>
      </c>
      <c r="O127" s="49" t="s">
        <v>142</v>
      </c>
      <c r="P127" s="7">
        <v>1</v>
      </c>
      <c r="Q127" s="8">
        <f>42440.86*8</f>
        <v>339526.88</v>
      </c>
      <c r="R127" s="8" t="e">
        <f>J127-#REF!</f>
        <v>#REF!</v>
      </c>
      <c r="S127" s="8">
        <v>1.89</v>
      </c>
      <c r="T127" s="82">
        <v>1.55</v>
      </c>
      <c r="U127" s="8">
        <f>J127-S127*J127/100</f>
        <v>310323.92163300002</v>
      </c>
      <c r="V127" s="50">
        <f t="shared" si="11"/>
        <v>334584.53537538426</v>
      </c>
      <c r="W127" t="s">
        <v>143</v>
      </c>
    </row>
    <row r="128" spans="1:23" x14ac:dyDescent="0.25">
      <c r="A128" s="53" t="s">
        <v>26</v>
      </c>
      <c r="B128" s="9">
        <v>23456.2</v>
      </c>
      <c r="C128" s="9">
        <v>17.89</v>
      </c>
      <c r="D128" s="9">
        <v>2.44</v>
      </c>
      <c r="E128" s="10">
        <v>1</v>
      </c>
      <c r="F128" s="11" t="s">
        <v>77</v>
      </c>
      <c r="G128" s="11"/>
      <c r="H128" s="11">
        <v>1.105</v>
      </c>
      <c r="I128" s="9">
        <f t="shared" si="12"/>
        <v>419575.10346370441</v>
      </c>
      <c r="J128" s="9">
        <f>B128*C128*((1-D128/100)+D128/100*1.28*1.105)</f>
        <v>423874.46233470849</v>
      </c>
      <c r="K128" s="30">
        <f t="shared" si="13"/>
        <v>423874.46233470849</v>
      </c>
      <c r="L128" s="52" t="s">
        <v>39</v>
      </c>
      <c r="M128" s="9">
        <v>421125.09264016704</v>
      </c>
      <c r="N128" s="48" t="s">
        <v>144</v>
      </c>
      <c r="O128" s="49" t="s">
        <v>145</v>
      </c>
      <c r="P128" s="7">
        <v>1</v>
      </c>
      <c r="Q128" s="8">
        <f>8614.91*48</f>
        <v>413515.68</v>
      </c>
      <c r="R128" s="8" t="e">
        <f>J128-#REF!</f>
        <v>#REF!</v>
      </c>
      <c r="S128" s="8">
        <v>2.44</v>
      </c>
      <c r="T128" s="82">
        <v>1.19</v>
      </c>
      <c r="U128" s="8">
        <f>J128-J128*S128/100</f>
        <v>413531.92545374157</v>
      </c>
      <c r="V128" s="50">
        <f t="shared" si="11"/>
        <v>416113.70403774903</v>
      </c>
      <c r="W128" t="s">
        <v>146</v>
      </c>
    </row>
    <row r="129" spans="1:23" x14ac:dyDescent="0.25">
      <c r="A129" s="55" t="s">
        <v>27</v>
      </c>
      <c r="B129" s="9"/>
      <c r="C129" s="9"/>
      <c r="D129" s="9"/>
      <c r="E129" s="10"/>
      <c r="F129" s="11"/>
      <c r="G129" s="11"/>
      <c r="H129" s="10"/>
      <c r="I129" s="9"/>
      <c r="J129" s="9">
        <v>813569.11740674742</v>
      </c>
      <c r="K129" s="30"/>
      <c r="L129" s="52" t="s">
        <v>40</v>
      </c>
      <c r="M129" s="50">
        <v>712726.21814717771</v>
      </c>
      <c r="N129" t="s">
        <v>147</v>
      </c>
      <c r="O129" s="49" t="s">
        <v>148</v>
      </c>
      <c r="P129" s="7">
        <v>1</v>
      </c>
      <c r="Q129" s="8">
        <f>8614.91*7.5+19725.14*45</f>
        <v>952243.12499999988</v>
      </c>
      <c r="R129" s="8"/>
      <c r="S129" s="8">
        <v>0.73</v>
      </c>
      <c r="T129" s="8">
        <v>0.69</v>
      </c>
      <c r="U129" s="8">
        <f>J129-J129*S129/100</f>
        <v>807630.06284967822</v>
      </c>
      <c r="V129" s="50">
        <f t="shared" si="11"/>
        <v>707808.40724196215</v>
      </c>
      <c r="W129" t="s">
        <v>324</v>
      </c>
    </row>
    <row r="130" spans="1:23" x14ac:dyDescent="0.25">
      <c r="A130" s="53" t="s">
        <v>27</v>
      </c>
      <c r="B130" s="9">
        <v>23456.2</v>
      </c>
      <c r="C130" s="9">
        <v>34.58</v>
      </c>
      <c r="D130" s="9">
        <v>0.73</v>
      </c>
      <c r="E130" s="10">
        <v>1</v>
      </c>
      <c r="F130" s="11" t="s">
        <v>77</v>
      </c>
      <c r="G130" s="11"/>
      <c r="H130" s="11">
        <v>1.105</v>
      </c>
      <c r="I130" s="9">
        <f t="shared" si="12"/>
        <v>811082.82971685054</v>
      </c>
      <c r="J130" s="9">
        <f>B130*C130*((1-D130/100)+D130/100*1.28*1.105)</f>
        <v>813569.11740674742</v>
      </c>
      <c r="K130" s="30">
        <f t="shared" si="13"/>
        <v>813569.11740674742</v>
      </c>
      <c r="L130" s="52" t="s">
        <v>40</v>
      </c>
      <c r="M130" s="9">
        <v>712726.21814717771</v>
      </c>
      <c r="N130" s="48" t="s">
        <v>149</v>
      </c>
      <c r="O130" s="49" t="s">
        <v>150</v>
      </c>
      <c r="P130" s="7">
        <v>1</v>
      </c>
      <c r="Q130" s="8">
        <f>42440.86*16</f>
        <v>679053.76</v>
      </c>
      <c r="R130" s="8" t="e">
        <f>J130-#REF!</f>
        <v>#REF!</v>
      </c>
      <c r="S130" s="8">
        <v>0.73</v>
      </c>
      <c r="T130" s="82">
        <v>0.69</v>
      </c>
      <c r="U130" s="8">
        <f>J130-J130*S130/100</f>
        <v>807630.06284967822</v>
      </c>
      <c r="V130" s="50">
        <f t="shared" si="11"/>
        <v>707808.40724196215</v>
      </c>
      <c r="W130" t="s">
        <v>151</v>
      </c>
    </row>
    <row r="131" spans="1:23" x14ac:dyDescent="0.25">
      <c r="A131" s="210" t="s">
        <v>28</v>
      </c>
      <c r="B131" s="46">
        <v>13285</v>
      </c>
      <c r="C131" s="46">
        <v>7.73</v>
      </c>
      <c r="D131" s="46">
        <v>3.76</v>
      </c>
      <c r="E131" s="56">
        <v>1</v>
      </c>
      <c r="F131" s="56">
        <v>1</v>
      </c>
      <c r="G131" s="57"/>
      <c r="H131" s="57">
        <v>1.105</v>
      </c>
      <c r="I131" s="46">
        <f>B131*C131*((1-D131/100)+D131/100*1*1.105)</f>
        <v>103098.48216140001</v>
      </c>
      <c r="J131" s="212">
        <f>B131*C131*((1-D131/100)+D131/100*1*1.105)</f>
        <v>103098.48216140001</v>
      </c>
      <c r="K131" s="30">
        <f>B131*C131*((1-D131/100)+D131/100*1*1.105)</f>
        <v>103098.48216140001</v>
      </c>
      <c r="L131" s="46" t="s">
        <v>41</v>
      </c>
      <c r="M131" s="9">
        <v>121145.1765750756</v>
      </c>
      <c r="N131" s="48" t="s">
        <v>129</v>
      </c>
      <c r="O131" s="49" t="s">
        <v>130</v>
      </c>
      <c r="P131" s="7">
        <v>1</v>
      </c>
      <c r="Q131" s="8">
        <f>32947.64*3.75</f>
        <v>123553.65</v>
      </c>
      <c r="R131" s="206" t="e">
        <f>J131-#REF!</f>
        <v>#REF!</v>
      </c>
      <c r="S131" s="206">
        <v>3.76</v>
      </c>
      <c r="T131" s="83">
        <v>15.08</v>
      </c>
      <c r="U131" s="206">
        <f>J131-J131*S131/100</f>
        <v>99221.979232131373</v>
      </c>
      <c r="V131" s="50">
        <f t="shared" si="11"/>
        <v>102876.4839475542</v>
      </c>
      <c r="W131" t="s">
        <v>131</v>
      </c>
    </row>
    <row r="132" spans="1:23" x14ac:dyDescent="0.25">
      <c r="A132" s="216"/>
      <c r="B132" s="46"/>
      <c r="C132" s="46"/>
      <c r="D132" s="46"/>
      <c r="E132" s="56"/>
      <c r="F132" s="56"/>
      <c r="G132" s="57"/>
      <c r="H132" s="57"/>
      <c r="I132" s="46"/>
      <c r="J132" s="217"/>
      <c r="K132" s="30"/>
      <c r="L132" s="209" t="s">
        <v>42</v>
      </c>
      <c r="M132" s="9">
        <v>136388.04329298151</v>
      </c>
      <c r="N132" s="48" t="s">
        <v>152</v>
      </c>
      <c r="O132" s="49" t="s">
        <v>153</v>
      </c>
      <c r="P132" s="7">
        <v>30</v>
      </c>
      <c r="Q132" s="8">
        <f>1300.59*120</f>
        <v>156070.79999999999</v>
      </c>
      <c r="R132" s="215"/>
      <c r="S132" s="215"/>
      <c r="T132" s="83">
        <v>14.91</v>
      </c>
      <c r="U132" s="215"/>
      <c r="V132" s="50">
        <f t="shared" si="11"/>
        <v>116052.58603799797</v>
      </c>
      <c r="W132" t="s">
        <v>204</v>
      </c>
    </row>
    <row r="133" spans="1:23" x14ac:dyDescent="0.25">
      <c r="A133" s="216"/>
      <c r="B133" s="46"/>
      <c r="C133" s="46"/>
      <c r="D133" s="46"/>
      <c r="E133" s="56"/>
      <c r="F133" s="56"/>
      <c r="G133" s="57"/>
      <c r="H133" s="57"/>
      <c r="I133" s="46"/>
      <c r="J133" s="217"/>
      <c r="K133" s="30"/>
      <c r="L133" s="207"/>
      <c r="M133" s="9">
        <v>136388.04329298151</v>
      </c>
      <c r="N133" s="48" t="s">
        <v>152</v>
      </c>
      <c r="O133" s="49" t="s">
        <v>153</v>
      </c>
      <c r="P133" s="7">
        <v>30</v>
      </c>
      <c r="Q133" s="8">
        <f>1300.59*60</f>
        <v>78035.399999999994</v>
      </c>
      <c r="R133" s="215"/>
      <c r="S133" s="215"/>
      <c r="T133" s="83">
        <v>14.91</v>
      </c>
      <c r="U133" s="215"/>
      <c r="V133" s="50">
        <f t="shared" si="11"/>
        <v>116052.58603799797</v>
      </c>
      <c r="W133" t="s">
        <v>205</v>
      </c>
    </row>
    <row r="134" spans="1:23" ht="30" x14ac:dyDescent="0.25">
      <c r="A134" s="216"/>
      <c r="B134" s="46"/>
      <c r="C134" s="46"/>
      <c r="D134" s="46"/>
      <c r="E134" s="56"/>
      <c r="F134" s="56"/>
      <c r="G134" s="57"/>
      <c r="H134" s="57"/>
      <c r="I134" s="46"/>
      <c r="J134" s="217"/>
      <c r="K134" s="30"/>
      <c r="L134" s="207"/>
      <c r="M134" s="9">
        <v>136388.04329298151</v>
      </c>
      <c r="N134" s="48" t="s">
        <v>155</v>
      </c>
      <c r="O134" s="49" t="s">
        <v>156</v>
      </c>
      <c r="P134" s="7">
        <v>28</v>
      </c>
      <c r="Q134" s="8">
        <f>1300.59*56+3274.19*10</f>
        <v>105574.94</v>
      </c>
      <c r="R134" s="215"/>
      <c r="S134" s="215"/>
      <c r="T134" s="83">
        <v>14.91</v>
      </c>
      <c r="U134" s="215"/>
      <c r="V134" s="50">
        <f t="shared" si="11"/>
        <v>116052.58603799797</v>
      </c>
      <c r="W134" t="s">
        <v>206</v>
      </c>
    </row>
    <row r="135" spans="1:23" ht="15" customHeight="1" x14ac:dyDescent="0.25">
      <c r="A135" s="211"/>
      <c r="B135" s="46"/>
      <c r="C135" s="46"/>
      <c r="D135" s="46"/>
      <c r="E135" s="56"/>
      <c r="F135" s="56"/>
      <c r="G135" s="57"/>
      <c r="H135" s="57"/>
      <c r="I135" s="46"/>
      <c r="J135" s="213"/>
      <c r="K135" s="30"/>
      <c r="L135" s="207"/>
      <c r="M135" s="9">
        <v>136388.04329298151</v>
      </c>
      <c r="N135" s="48" t="s">
        <v>155</v>
      </c>
      <c r="O135" s="49" t="s">
        <v>156</v>
      </c>
      <c r="P135" s="7">
        <v>28</v>
      </c>
      <c r="Q135" s="8">
        <f>1300.59*56+3274.19*20</f>
        <v>138316.84</v>
      </c>
      <c r="R135" s="214"/>
      <c r="S135" s="214"/>
      <c r="T135" s="83">
        <v>14.91</v>
      </c>
      <c r="U135" s="214"/>
      <c r="V135" s="50">
        <f t="shared" si="11"/>
        <v>116052.58603799797</v>
      </c>
      <c r="W135" t="s">
        <v>207</v>
      </c>
    </row>
    <row r="136" spans="1:23" ht="15" customHeight="1" x14ac:dyDescent="0.25">
      <c r="A136" s="210" t="s">
        <v>29</v>
      </c>
      <c r="B136" s="46"/>
      <c r="C136" s="46"/>
      <c r="D136" s="46"/>
      <c r="E136" s="56"/>
      <c r="F136" s="56"/>
      <c r="G136" s="57"/>
      <c r="H136" s="57"/>
      <c r="I136" s="46"/>
      <c r="J136" s="212">
        <f>B137*C137*((1-D137/100)+D137/100*1*1.105)</f>
        <v>150520.22904375001</v>
      </c>
      <c r="K136" s="30"/>
      <c r="L136" s="207"/>
      <c r="M136" s="9">
        <v>136388.04329298151</v>
      </c>
      <c r="N136" s="48" t="s">
        <v>159</v>
      </c>
      <c r="O136" s="49" t="s">
        <v>160</v>
      </c>
      <c r="P136" s="7">
        <v>21</v>
      </c>
      <c r="Q136" s="8">
        <f>3537.44*21+3274.19*10</f>
        <v>107028.14000000001</v>
      </c>
      <c r="R136" s="59"/>
      <c r="S136" s="59"/>
      <c r="T136" s="83">
        <v>14.91</v>
      </c>
      <c r="U136" s="206">
        <f>J136-J136*S137/100</f>
        <v>140314.95751458374</v>
      </c>
      <c r="V136" s="50">
        <f t="shared" si="11"/>
        <v>116052.58603799797</v>
      </c>
      <c r="W136" t="s">
        <v>208</v>
      </c>
    </row>
    <row r="137" spans="1:23" ht="30" x14ac:dyDescent="0.25">
      <c r="A137" s="216"/>
      <c r="B137" s="46">
        <v>13285</v>
      </c>
      <c r="C137" s="46">
        <v>11.25</v>
      </c>
      <c r="D137" s="46">
        <v>6.78</v>
      </c>
      <c r="E137" s="56">
        <v>1</v>
      </c>
      <c r="F137" s="56">
        <v>1</v>
      </c>
      <c r="G137" s="57"/>
      <c r="H137" s="57">
        <v>1.105</v>
      </c>
      <c r="I137" s="46">
        <f>B137*C137*((1-D137/100)+D137/100*1*1.105)</f>
        <v>150520.22904375001</v>
      </c>
      <c r="J137" s="217"/>
      <c r="K137" s="30">
        <f>B137*C137*((1-D137/100)+D137/100*1*1.105)</f>
        <v>150520.22904375001</v>
      </c>
      <c r="L137" s="208"/>
      <c r="M137" s="9">
        <v>136388.04329298151</v>
      </c>
      <c r="N137" s="48" t="s">
        <v>159</v>
      </c>
      <c r="O137" s="49" t="s">
        <v>160</v>
      </c>
      <c r="P137" s="7">
        <v>21</v>
      </c>
      <c r="Q137" s="8">
        <f>3537.44*21+3274.19*20</f>
        <v>139770.04</v>
      </c>
      <c r="R137" s="206" t="e">
        <f>J136-#REF!</f>
        <v>#REF!</v>
      </c>
      <c r="S137" s="206">
        <v>6.78</v>
      </c>
      <c r="T137" s="83">
        <v>14.91</v>
      </c>
      <c r="U137" s="215"/>
      <c r="V137" s="50">
        <f t="shared" si="11"/>
        <v>116052.58603799797</v>
      </c>
      <c r="W137" t="s">
        <v>209</v>
      </c>
    </row>
    <row r="138" spans="1:23" ht="30" x14ac:dyDescent="0.25">
      <c r="A138" s="216"/>
      <c r="B138" s="46"/>
      <c r="C138" s="46"/>
      <c r="D138" s="46"/>
      <c r="E138" s="56"/>
      <c r="F138" s="56"/>
      <c r="G138" s="57"/>
      <c r="H138" s="57"/>
      <c r="I138" s="46"/>
      <c r="J138" s="217"/>
      <c r="K138" s="30"/>
      <c r="L138" s="209" t="s">
        <v>43</v>
      </c>
      <c r="M138" s="9">
        <v>189831.43659586503</v>
      </c>
      <c r="N138" s="48" t="s">
        <v>163</v>
      </c>
      <c r="O138" s="49" t="s">
        <v>164</v>
      </c>
      <c r="P138" s="7">
        <v>21</v>
      </c>
      <c r="Q138" s="8">
        <f>3274.19*10+1754.75*63</f>
        <v>143291.15</v>
      </c>
      <c r="R138" s="215"/>
      <c r="S138" s="215"/>
      <c r="T138" s="83">
        <v>9.99</v>
      </c>
      <c r="U138" s="215"/>
      <c r="V138" s="50">
        <f t="shared" si="11"/>
        <v>170867.27607993811</v>
      </c>
      <c r="W138" t="s">
        <v>210</v>
      </c>
    </row>
    <row r="139" spans="1:23" ht="30" x14ac:dyDescent="0.25">
      <c r="A139" s="211"/>
      <c r="B139" s="46"/>
      <c r="C139" s="46"/>
      <c r="D139" s="46"/>
      <c r="E139" s="56"/>
      <c r="F139" s="56"/>
      <c r="G139" s="57"/>
      <c r="H139" s="57"/>
      <c r="I139" s="46"/>
      <c r="J139" s="213"/>
      <c r="K139" s="30"/>
      <c r="L139" s="207"/>
      <c r="M139" s="9">
        <v>189831.43659586503</v>
      </c>
      <c r="N139" s="48" t="s">
        <v>163</v>
      </c>
      <c r="O139" s="49" t="s">
        <v>164</v>
      </c>
      <c r="P139" s="7">
        <v>21</v>
      </c>
      <c r="Q139" s="8">
        <f>3274.19*20+1754.75*63</f>
        <v>176033.05</v>
      </c>
      <c r="R139" s="208"/>
      <c r="S139" s="214"/>
      <c r="T139" s="83">
        <v>9.99</v>
      </c>
      <c r="U139" s="214"/>
      <c r="V139" s="50">
        <f t="shared" si="11"/>
        <v>170867.27607993811</v>
      </c>
      <c r="W139" t="s">
        <v>211</v>
      </c>
    </row>
    <row r="140" spans="1:23" x14ac:dyDescent="0.25">
      <c r="A140" s="210" t="s">
        <v>30</v>
      </c>
      <c r="B140" s="46">
        <v>13285</v>
      </c>
      <c r="C140" s="46">
        <v>15.26</v>
      </c>
      <c r="D140" s="46">
        <v>0.43</v>
      </c>
      <c r="E140" s="56">
        <v>1</v>
      </c>
      <c r="F140" s="56">
        <v>1</v>
      </c>
      <c r="G140" s="57"/>
      <c r="H140" s="57">
        <v>1.105</v>
      </c>
      <c r="I140" s="46">
        <f>B140*C140*((1-D140/100)+D140/100*1*1.105)</f>
        <v>202820.63218865002</v>
      </c>
      <c r="J140" s="212">
        <f>B140*C140*((1-D140/100)+D140/100*1*1.105)</f>
        <v>202820.63218865002</v>
      </c>
      <c r="K140" s="30">
        <f>B140*C140*((1-D140/100)+D140/100*1*1.105)</f>
        <v>202820.63218865002</v>
      </c>
      <c r="L140" s="208"/>
      <c r="M140" s="9">
        <v>189831.43659586503</v>
      </c>
      <c r="N140" s="48" t="s">
        <v>132</v>
      </c>
      <c r="O140" s="49" t="s">
        <v>133</v>
      </c>
      <c r="P140" s="7">
        <v>1</v>
      </c>
      <c r="Q140" s="8">
        <f>8614.91*22.5</f>
        <v>193835.47500000001</v>
      </c>
      <c r="R140" s="206" t="e">
        <f>J140-#REF!</f>
        <v>#REF!</v>
      </c>
      <c r="S140" s="206">
        <v>0.43</v>
      </c>
      <c r="T140" s="83">
        <v>9.99</v>
      </c>
      <c r="U140" s="206">
        <f>J140-J140*S140/100</f>
        <v>201948.50347023882</v>
      </c>
      <c r="V140" s="50">
        <f t="shared" si="11"/>
        <v>170867.27607993811</v>
      </c>
      <c r="W140" t="s">
        <v>134</v>
      </c>
    </row>
    <row r="141" spans="1:23" x14ac:dyDescent="0.25">
      <c r="A141" s="216"/>
      <c r="B141" s="46"/>
      <c r="C141" s="46"/>
      <c r="D141" s="46"/>
      <c r="E141" s="56"/>
      <c r="F141" s="56"/>
      <c r="G141" s="57"/>
      <c r="H141" s="57"/>
      <c r="I141" s="46"/>
      <c r="J141" s="217"/>
      <c r="K141" s="30"/>
      <c r="L141" s="209" t="s">
        <v>44</v>
      </c>
      <c r="M141" s="9">
        <v>225055.92283567472</v>
      </c>
      <c r="N141" s="48" t="s">
        <v>135</v>
      </c>
      <c r="O141" s="49" t="s">
        <v>136</v>
      </c>
      <c r="P141" s="7">
        <v>1</v>
      </c>
      <c r="Q141" s="8">
        <f>8614.91*24</f>
        <v>206757.84</v>
      </c>
      <c r="R141" s="207"/>
      <c r="S141" s="215"/>
      <c r="T141" s="83">
        <v>8.49</v>
      </c>
      <c r="U141" s="207"/>
      <c r="V141" s="50">
        <f t="shared" si="11"/>
        <v>205948.67498692594</v>
      </c>
      <c r="W141" t="s">
        <v>137</v>
      </c>
    </row>
    <row r="142" spans="1:23" x14ac:dyDescent="0.25">
      <c r="A142" s="211"/>
      <c r="B142" s="46"/>
      <c r="C142" s="46"/>
      <c r="D142" s="46"/>
      <c r="E142" s="56"/>
      <c r="F142" s="56"/>
      <c r="G142" s="57"/>
      <c r="H142" s="57"/>
      <c r="I142" s="46"/>
      <c r="J142" s="213"/>
      <c r="K142" s="30"/>
      <c r="L142" s="208"/>
      <c r="M142" s="9">
        <v>225055.92283567472</v>
      </c>
      <c r="N142" s="79" t="s">
        <v>138</v>
      </c>
      <c r="O142" s="49" t="s">
        <v>139</v>
      </c>
      <c r="P142" s="7">
        <v>1</v>
      </c>
      <c r="Q142" s="8">
        <f>16675.03*15</f>
        <v>250125.44999999998</v>
      </c>
      <c r="R142" s="208"/>
      <c r="S142" s="214"/>
      <c r="T142" s="83">
        <v>8.49</v>
      </c>
      <c r="U142" s="208"/>
      <c r="V142" s="50">
        <f t="shared" si="11"/>
        <v>205948.67498692594</v>
      </c>
      <c r="W142" t="s">
        <v>140</v>
      </c>
    </row>
    <row r="143" spans="1:23" x14ac:dyDescent="0.25">
      <c r="A143" s="53" t="s">
        <v>31</v>
      </c>
      <c r="B143" s="46"/>
      <c r="C143" s="46"/>
      <c r="D143" s="46"/>
      <c r="E143" s="56"/>
      <c r="F143" s="56"/>
      <c r="G143" s="57"/>
      <c r="H143" s="57"/>
      <c r="I143" s="46"/>
      <c r="J143" s="46">
        <v>316953.71067600005</v>
      </c>
      <c r="K143" s="30"/>
      <c r="L143" s="209" t="s">
        <v>45</v>
      </c>
      <c r="M143" s="9">
        <v>379904.75338532042</v>
      </c>
      <c r="N143" s="48" t="s">
        <v>141</v>
      </c>
      <c r="O143" s="49" t="s">
        <v>142</v>
      </c>
      <c r="P143" s="7">
        <v>1</v>
      </c>
      <c r="Q143" s="8">
        <f>42440.86*8</f>
        <v>339526.88</v>
      </c>
      <c r="R143" s="47" t="e">
        <f>J143-#REF!</f>
        <v>#REF!</v>
      </c>
      <c r="S143" s="47">
        <v>0.32</v>
      </c>
      <c r="T143" s="83">
        <v>2.82</v>
      </c>
      <c r="U143" s="47">
        <f>J143-J143*S143/100</f>
        <v>315939.45880183682</v>
      </c>
      <c r="V143" s="50">
        <f t="shared" si="11"/>
        <v>369191.43933985441</v>
      </c>
      <c r="W143" t="s">
        <v>143</v>
      </c>
    </row>
    <row r="144" spans="1:23" x14ac:dyDescent="0.25">
      <c r="A144" s="210" t="s">
        <v>32</v>
      </c>
      <c r="B144" s="46">
        <v>13285</v>
      </c>
      <c r="C144" s="46">
        <v>35.24</v>
      </c>
      <c r="D144" s="46">
        <v>0.67</v>
      </c>
      <c r="E144" s="56">
        <v>1</v>
      </c>
      <c r="F144" s="56">
        <v>1</v>
      </c>
      <c r="G144" s="57"/>
      <c r="H144" s="57">
        <v>1.105</v>
      </c>
      <c r="I144" s="46">
        <f>B144*C144*((1-D144/100)+D144/100*1*1.105)</f>
        <v>468492.75295190001</v>
      </c>
      <c r="J144" s="239">
        <f>B144*C144*((1-D144/100)+D144/100*1*1.105)</f>
        <v>468492.75295190001</v>
      </c>
      <c r="K144" s="30">
        <f>B144*C144*((1-D144/100)+D144/100*1*1.105)</f>
        <v>468492.75295190001</v>
      </c>
      <c r="L144" s="208"/>
      <c r="M144" s="9">
        <v>379904.75338532042</v>
      </c>
      <c r="N144" s="48" t="s">
        <v>144</v>
      </c>
      <c r="O144" s="49" t="s">
        <v>145</v>
      </c>
      <c r="P144" s="7">
        <v>1</v>
      </c>
      <c r="Q144" s="8">
        <f>8614.91*48</f>
        <v>413515.68</v>
      </c>
      <c r="R144" s="206" t="e">
        <f>J144-#REF!</f>
        <v>#REF!</v>
      </c>
      <c r="S144" s="206">
        <v>0.67</v>
      </c>
      <c r="T144" s="83">
        <v>2.82</v>
      </c>
      <c r="U144" s="206">
        <f>J144-J144*S144/100</f>
        <v>465353.85150712228</v>
      </c>
      <c r="V144" s="50">
        <f t="shared" si="11"/>
        <v>369191.43933985441</v>
      </c>
      <c r="W144" t="s">
        <v>146</v>
      </c>
    </row>
    <row r="145" spans="1:23" x14ac:dyDescent="0.25">
      <c r="A145" s="211"/>
      <c r="B145" s="46"/>
      <c r="C145" s="46"/>
      <c r="D145" s="46"/>
      <c r="E145" s="56"/>
      <c r="F145" s="56"/>
      <c r="G145" s="57"/>
      <c r="H145" s="57"/>
      <c r="I145" s="46"/>
      <c r="J145" s="239"/>
      <c r="K145" s="30"/>
      <c r="L145" s="52" t="s">
        <v>46</v>
      </c>
      <c r="M145" s="9">
        <v>788510.25224932958</v>
      </c>
      <c r="N145" s="48" t="s">
        <v>149</v>
      </c>
      <c r="O145" s="49" t="s">
        <v>150</v>
      </c>
      <c r="P145" s="7">
        <v>1</v>
      </c>
      <c r="Q145" s="8">
        <f>42440.86*16</f>
        <v>679053.76</v>
      </c>
      <c r="R145" s="208"/>
      <c r="S145" s="214"/>
      <c r="T145" s="83">
        <v>0.23</v>
      </c>
      <c r="U145" s="208"/>
      <c r="V145" s="50">
        <f t="shared" si="11"/>
        <v>786696.67866915616</v>
      </c>
      <c r="W145" t="s">
        <v>151</v>
      </c>
    </row>
    <row r="146" spans="1:23" x14ac:dyDescent="0.25">
      <c r="A146" s="62" t="s">
        <v>32</v>
      </c>
      <c r="B146" s="63"/>
      <c r="C146" s="63"/>
      <c r="D146" s="63"/>
      <c r="E146" s="64"/>
      <c r="F146" s="65"/>
      <c r="G146" s="65"/>
      <c r="H146" s="64"/>
      <c r="I146" s="63"/>
      <c r="J146" s="66">
        <v>468492.75295190001</v>
      </c>
      <c r="K146" s="67"/>
      <c r="L146" s="52" t="s">
        <v>46</v>
      </c>
      <c r="M146" s="50">
        <v>788510.25224932958</v>
      </c>
      <c r="N146" s="7" t="s">
        <v>147</v>
      </c>
      <c r="O146" s="49" t="s">
        <v>148</v>
      </c>
      <c r="P146" s="7">
        <v>1</v>
      </c>
      <c r="Q146" s="51">
        <f>8614.91*7.5+19725.14*45</f>
        <v>952243.12499999988</v>
      </c>
      <c r="R146" s="85"/>
      <c r="S146" s="8">
        <v>0.67</v>
      </c>
      <c r="T146" s="8">
        <v>0.23</v>
      </c>
      <c r="U146" s="8">
        <f>J146-J146*S146/100</f>
        <v>465353.85150712228</v>
      </c>
      <c r="V146" s="50">
        <f t="shared" si="11"/>
        <v>786696.67866915616</v>
      </c>
      <c r="W146" t="s">
        <v>324</v>
      </c>
    </row>
    <row r="147" spans="1:23" ht="15.75" thickBot="1" x14ac:dyDescent="0.3"/>
    <row r="148" spans="1:23" ht="19.5" thickBot="1" x14ac:dyDescent="0.35">
      <c r="A148" s="232" t="s">
        <v>212</v>
      </c>
      <c r="B148" s="233"/>
      <c r="C148" s="233"/>
      <c r="D148" s="233"/>
      <c r="E148" s="233"/>
      <c r="F148" s="233"/>
      <c r="G148" s="233"/>
      <c r="H148" s="233"/>
      <c r="I148" s="233"/>
      <c r="J148" s="233"/>
      <c r="K148" s="234"/>
      <c r="L148" s="40"/>
      <c r="M148" s="40"/>
      <c r="N148" s="41"/>
      <c r="O148" s="42"/>
      <c r="P148" s="42"/>
      <c r="Q148" s="73"/>
      <c r="R148" s="73"/>
    </row>
    <row r="149" spans="1:23" x14ac:dyDescent="0.25">
      <c r="A149" s="235" t="s">
        <v>112</v>
      </c>
      <c r="B149" s="236" t="s">
        <v>10</v>
      </c>
      <c r="C149" s="236" t="s">
        <v>11</v>
      </c>
      <c r="D149" s="236" t="s">
        <v>12</v>
      </c>
      <c r="E149" s="238" t="s">
        <v>13</v>
      </c>
      <c r="F149" s="238"/>
      <c r="G149" s="238"/>
      <c r="H149" s="236" t="s">
        <v>195</v>
      </c>
      <c r="I149" s="182" t="s">
        <v>15</v>
      </c>
      <c r="J149" s="182" t="s">
        <v>114</v>
      </c>
      <c r="K149" s="182" t="s">
        <v>17</v>
      </c>
      <c r="L149" s="188" t="s">
        <v>115</v>
      </c>
      <c r="M149" s="188" t="s">
        <v>116</v>
      </c>
      <c r="N149" s="227" t="s">
        <v>117</v>
      </c>
      <c r="O149" s="229" t="s">
        <v>169</v>
      </c>
      <c r="P149" s="231" t="s">
        <v>119</v>
      </c>
      <c r="Q149" s="218" t="s">
        <v>120</v>
      </c>
      <c r="R149" s="240" t="s">
        <v>121</v>
      </c>
      <c r="S149" s="242" t="s">
        <v>122</v>
      </c>
      <c r="T149" s="219" t="s">
        <v>123</v>
      </c>
      <c r="U149" s="219" t="s">
        <v>170</v>
      </c>
      <c r="V149" s="183" t="s">
        <v>125</v>
      </c>
      <c r="W149" t="s">
        <v>329</v>
      </c>
    </row>
    <row r="150" spans="1:23" ht="75" x14ac:dyDescent="0.25">
      <c r="A150" s="227"/>
      <c r="B150" s="237"/>
      <c r="C150" s="237"/>
      <c r="D150" s="237"/>
      <c r="E150" s="76" t="s">
        <v>51</v>
      </c>
      <c r="F150" s="76" t="s">
        <v>76</v>
      </c>
      <c r="G150" s="76" t="s">
        <v>128</v>
      </c>
      <c r="H150" s="237"/>
      <c r="I150" s="183"/>
      <c r="J150" s="183"/>
      <c r="K150" s="183"/>
      <c r="L150" s="184"/>
      <c r="M150" s="184"/>
      <c r="N150" s="228"/>
      <c r="O150" s="230"/>
      <c r="P150" s="229"/>
      <c r="Q150" s="219"/>
      <c r="R150" s="241"/>
      <c r="S150" s="240"/>
      <c r="T150" s="219"/>
      <c r="U150" s="219"/>
      <c r="V150" s="183"/>
    </row>
    <row r="151" spans="1:23" x14ac:dyDescent="0.25">
      <c r="A151" s="45" t="s">
        <v>21</v>
      </c>
      <c r="B151" s="9">
        <v>23460</v>
      </c>
      <c r="C151" s="9">
        <v>4.2300000000000004</v>
      </c>
      <c r="D151" s="9">
        <v>17.54</v>
      </c>
      <c r="E151" s="10">
        <v>1</v>
      </c>
      <c r="F151" s="11" t="s">
        <v>83</v>
      </c>
      <c r="G151" s="11"/>
      <c r="H151" s="11" t="s">
        <v>84</v>
      </c>
      <c r="I151" s="9">
        <f>B151*C151*((1-D151/100)+D151/100*0.8*1.4)</f>
        <v>101324.5151184</v>
      </c>
      <c r="J151" s="9">
        <f>B151*C151*((1-D151/100)+D151/100*1.4*1.68)</f>
        <v>122768.65700064</v>
      </c>
      <c r="K151" s="30">
        <f>B151*C151*((1-D151/100)+D151/100*1.4*2.57)</f>
        <v>144456.48231336</v>
      </c>
      <c r="L151" s="46" t="s">
        <v>34</v>
      </c>
      <c r="M151" s="9">
        <v>127720.60487628801</v>
      </c>
      <c r="N151" s="48" t="s">
        <v>129</v>
      </c>
      <c r="O151" s="49" t="s">
        <v>130</v>
      </c>
      <c r="P151" s="7">
        <v>1</v>
      </c>
      <c r="Q151" s="8">
        <f>32947.64*3.75</f>
        <v>123553.65</v>
      </c>
      <c r="R151" s="8" t="e">
        <f>J151-#REF!</f>
        <v>#REF!</v>
      </c>
      <c r="S151" s="8">
        <v>17.54</v>
      </c>
      <c r="T151" s="82">
        <v>5.84</v>
      </c>
      <c r="U151" s="8">
        <f>J151-S151*J151/100</f>
        <v>101235.03456272774</v>
      </c>
      <c r="V151" s="50">
        <f t="shared" ref="V151:V174" si="14">M151-T151*M151/100</f>
        <v>120261.72155151279</v>
      </c>
      <c r="W151" t="s">
        <v>131</v>
      </c>
    </row>
    <row r="152" spans="1:23" x14ac:dyDescent="0.25">
      <c r="A152" s="210" t="s">
        <v>23</v>
      </c>
      <c r="B152" s="9">
        <v>23460</v>
      </c>
      <c r="C152" s="9">
        <v>8.49</v>
      </c>
      <c r="D152" s="9">
        <v>7.19</v>
      </c>
      <c r="E152" s="10">
        <v>1</v>
      </c>
      <c r="F152" s="11" t="s">
        <v>83</v>
      </c>
      <c r="G152" s="11"/>
      <c r="H152" s="11" t="s">
        <v>84</v>
      </c>
      <c r="I152" s="9">
        <f t="shared" ref="I152:I158" si="15">B152*C152*((1-D152/100)+D152/100*0.8*1.4)</f>
        <v>200893.88535120001</v>
      </c>
      <c r="J152" s="221">
        <f>B152*C152*((1-D152/100)+D152/100*1.4*1.68)</f>
        <v>218537.00162351999</v>
      </c>
      <c r="K152" s="30">
        <f t="shared" ref="K152:K158" si="16">B152*C152*((1-D152/100)+D152/100*1.4*2.57)</f>
        <v>236380.60785348</v>
      </c>
      <c r="L152" s="212" t="s">
        <v>36</v>
      </c>
      <c r="M152" s="9">
        <v>204540.68189673603</v>
      </c>
      <c r="N152" s="48" t="s">
        <v>132</v>
      </c>
      <c r="O152" s="49" t="s">
        <v>133</v>
      </c>
      <c r="P152" s="7">
        <v>1</v>
      </c>
      <c r="Q152" s="8">
        <f>8541.35*22.5</f>
        <v>192180.375</v>
      </c>
      <c r="R152" s="224" t="e">
        <f>J152-#REF!</f>
        <v>#REF!</v>
      </c>
      <c r="S152" s="224">
        <v>7.19</v>
      </c>
      <c r="T152" s="82">
        <v>3.32</v>
      </c>
      <c r="U152" s="224">
        <f>J152-S152*J152/100</f>
        <v>202824.19120678891</v>
      </c>
      <c r="V152" s="50">
        <f t="shared" si="14"/>
        <v>197749.9312577644</v>
      </c>
      <c r="W152" t="s">
        <v>134</v>
      </c>
    </row>
    <row r="153" spans="1:23" x14ac:dyDescent="0.25">
      <c r="A153" s="216"/>
      <c r="B153" s="9"/>
      <c r="C153" s="9"/>
      <c r="D153" s="9"/>
      <c r="E153" s="10"/>
      <c r="F153" s="11"/>
      <c r="G153" s="11"/>
      <c r="H153" s="11"/>
      <c r="I153" s="9"/>
      <c r="J153" s="222"/>
      <c r="K153" s="30"/>
      <c r="L153" s="213"/>
      <c r="M153" s="9">
        <v>204540.68189673603</v>
      </c>
      <c r="N153" s="48" t="s">
        <v>135</v>
      </c>
      <c r="O153" s="49" t="s">
        <v>136</v>
      </c>
      <c r="P153" s="7">
        <v>1</v>
      </c>
      <c r="Q153" s="8">
        <f>8541.35*24</f>
        <v>204992.40000000002</v>
      </c>
      <c r="R153" s="225"/>
      <c r="S153" s="225"/>
      <c r="T153" s="82">
        <v>3.32</v>
      </c>
      <c r="U153" s="225"/>
      <c r="V153" s="50">
        <f t="shared" si="14"/>
        <v>197749.9312577644</v>
      </c>
      <c r="W153" t="s">
        <v>137</v>
      </c>
    </row>
    <row r="154" spans="1:23" x14ac:dyDescent="0.25">
      <c r="A154" s="211"/>
      <c r="B154" s="9"/>
      <c r="C154" s="9"/>
      <c r="D154" s="9"/>
      <c r="E154" s="10"/>
      <c r="F154" s="11"/>
      <c r="G154" s="11"/>
      <c r="H154" s="11"/>
      <c r="I154" s="9"/>
      <c r="J154" s="223"/>
      <c r="K154" s="30"/>
      <c r="L154" s="52" t="s">
        <v>37</v>
      </c>
      <c r="M154" s="9">
        <v>252366.85603236002</v>
      </c>
      <c r="N154" s="48" t="s">
        <v>138</v>
      </c>
      <c r="O154" s="49" t="s">
        <v>139</v>
      </c>
      <c r="P154" s="7">
        <v>1</v>
      </c>
      <c r="Q154" s="8">
        <f>15924.56*15</f>
        <v>238868.4</v>
      </c>
      <c r="R154" s="226"/>
      <c r="S154" s="226"/>
      <c r="T154" s="82">
        <v>2.15</v>
      </c>
      <c r="U154" s="226"/>
      <c r="V154" s="50">
        <f t="shared" si="14"/>
        <v>246940.96862766429</v>
      </c>
      <c r="W154" t="s">
        <v>140</v>
      </c>
    </row>
    <row r="155" spans="1:23" x14ac:dyDescent="0.25">
      <c r="A155" s="53" t="s">
        <v>24</v>
      </c>
      <c r="B155" s="9"/>
      <c r="C155" s="9"/>
      <c r="D155" s="9"/>
      <c r="E155" s="10"/>
      <c r="F155" s="11"/>
      <c r="G155" s="11"/>
      <c r="H155" s="11"/>
      <c r="I155" s="9"/>
      <c r="J155" s="9">
        <v>321915.69104544003</v>
      </c>
      <c r="K155" s="30"/>
      <c r="L155" s="52" t="s">
        <v>38</v>
      </c>
      <c r="M155" s="9">
        <v>343247.46953111998</v>
      </c>
      <c r="N155" s="78" t="s">
        <v>141</v>
      </c>
      <c r="O155" s="49" t="s">
        <v>142</v>
      </c>
      <c r="P155" s="7">
        <v>1</v>
      </c>
      <c r="Q155" s="8">
        <f>41539.46*8</f>
        <v>332315.68</v>
      </c>
      <c r="R155" s="8" t="e">
        <f>J155-#REF!</f>
        <v>#REF!</v>
      </c>
      <c r="S155" s="8">
        <v>1.89</v>
      </c>
      <c r="T155" s="82">
        <v>1.55</v>
      </c>
      <c r="U155" s="8">
        <f>J155-S155*J155/100</f>
        <v>315831.48448468122</v>
      </c>
      <c r="V155" s="50">
        <f t="shared" si="14"/>
        <v>337927.13375338761</v>
      </c>
      <c r="W155" t="s">
        <v>143</v>
      </c>
    </row>
    <row r="156" spans="1:23" x14ac:dyDescent="0.25">
      <c r="A156" s="53" t="s">
        <v>26</v>
      </c>
      <c r="B156" s="9">
        <v>23460</v>
      </c>
      <c r="C156" s="9">
        <v>17.89</v>
      </c>
      <c r="D156" s="9">
        <v>2.44</v>
      </c>
      <c r="E156" s="10">
        <v>1</v>
      </c>
      <c r="F156" s="11" t="s">
        <v>83</v>
      </c>
      <c r="G156" s="11"/>
      <c r="H156" s="11" t="s">
        <v>84</v>
      </c>
      <c r="I156" s="9">
        <f t="shared" si="15"/>
        <v>420928.27984320006</v>
      </c>
      <c r="J156" s="9">
        <f>B156*C156*((1-D156/100)+D156/100*1.4*1.68)</f>
        <v>433544.77956672007</v>
      </c>
      <c r="K156" s="30">
        <f t="shared" si="16"/>
        <v>446304.64860528009</v>
      </c>
      <c r="L156" s="52" t="s">
        <v>39</v>
      </c>
      <c r="M156" s="9">
        <v>423932.97557151999</v>
      </c>
      <c r="N156" s="48" t="s">
        <v>144</v>
      </c>
      <c r="O156" s="49" t="s">
        <v>145</v>
      </c>
      <c r="P156" s="7">
        <v>1</v>
      </c>
      <c r="Q156" s="8">
        <f>8541.35*48</f>
        <v>409984.80000000005</v>
      </c>
      <c r="R156" s="8" t="e">
        <f>J156-#REF!</f>
        <v>#REF!</v>
      </c>
      <c r="S156" s="8">
        <v>2.44</v>
      </c>
      <c r="T156" s="82">
        <v>1.19</v>
      </c>
      <c r="U156" s="8">
        <f>J156-J156*S156/100</f>
        <v>422966.28694529209</v>
      </c>
      <c r="V156" s="50">
        <f t="shared" si="14"/>
        <v>418888.17316221888</v>
      </c>
      <c r="W156" t="s">
        <v>146</v>
      </c>
    </row>
    <row r="157" spans="1:23" x14ac:dyDescent="0.25">
      <c r="A157" s="55" t="s">
        <v>27</v>
      </c>
      <c r="B157" s="9"/>
      <c r="C157" s="9"/>
      <c r="D157" s="9"/>
      <c r="E157" s="10"/>
      <c r="F157" s="11"/>
      <c r="G157" s="11"/>
      <c r="H157" s="10"/>
      <c r="I157" s="9"/>
      <c r="J157" s="9">
        <v>819253.48141727992</v>
      </c>
      <c r="K157" s="30"/>
      <c r="L157" s="52" t="s">
        <v>40</v>
      </c>
      <c r="M157" s="50">
        <v>714177.53142567212</v>
      </c>
      <c r="N157" t="s">
        <v>147</v>
      </c>
      <c r="O157" s="49" t="s">
        <v>148</v>
      </c>
      <c r="P157" s="7">
        <v>1</v>
      </c>
      <c r="Q157" s="8">
        <f>8541.35*7.5+19821.56*45</f>
        <v>956030.32500000007</v>
      </c>
      <c r="R157" s="8"/>
      <c r="S157" s="8">
        <v>0.73</v>
      </c>
      <c r="T157" s="8">
        <v>0.69</v>
      </c>
      <c r="U157" s="8">
        <f>J157-J157*S157/100</f>
        <v>813272.93100293376</v>
      </c>
      <c r="V157" s="50">
        <f t="shared" si="14"/>
        <v>709249.70645883493</v>
      </c>
      <c r="W157" t="s">
        <v>324</v>
      </c>
    </row>
    <row r="158" spans="1:23" x14ac:dyDescent="0.25">
      <c r="A158" s="53" t="s">
        <v>27</v>
      </c>
      <c r="B158" s="9">
        <v>23460</v>
      </c>
      <c r="C158" s="9">
        <v>34.58</v>
      </c>
      <c r="D158" s="9">
        <v>0.73</v>
      </c>
      <c r="E158" s="10">
        <v>1</v>
      </c>
      <c r="F158" s="11" t="s">
        <v>83</v>
      </c>
      <c r="G158" s="11"/>
      <c r="H158" s="11" t="s">
        <v>84</v>
      </c>
      <c r="I158" s="9">
        <f t="shared" si="15"/>
        <v>811957.45219680003</v>
      </c>
      <c r="J158" s="9">
        <f>B158*C158*((1-D158/100)+D158/100*1.4*1.68)</f>
        <v>819253.48141727992</v>
      </c>
      <c r="K158" s="30">
        <f t="shared" si="16"/>
        <v>826632.42006072006</v>
      </c>
      <c r="L158" s="52" t="s">
        <v>40</v>
      </c>
      <c r="M158" s="9">
        <v>714177.53142567212</v>
      </c>
      <c r="N158" s="48" t="s">
        <v>149</v>
      </c>
      <c r="O158" s="49" t="s">
        <v>150</v>
      </c>
      <c r="P158" s="7">
        <v>1</v>
      </c>
      <c r="Q158" s="8">
        <f>41539.46*16</f>
        <v>664631.36</v>
      </c>
      <c r="R158" s="8" t="e">
        <f>J158-#REF!</f>
        <v>#REF!</v>
      </c>
      <c r="S158" s="8">
        <v>0.73</v>
      </c>
      <c r="T158" s="82">
        <v>0.69</v>
      </c>
      <c r="U158" s="8">
        <f>J158-J158*S158/100</f>
        <v>813272.93100293376</v>
      </c>
      <c r="V158" s="50">
        <f t="shared" si="14"/>
        <v>709249.70645883493</v>
      </c>
      <c r="W158" t="s">
        <v>151</v>
      </c>
    </row>
    <row r="159" spans="1:23" x14ac:dyDescent="0.25">
      <c r="A159" s="210" t="s">
        <v>28</v>
      </c>
      <c r="B159" s="46">
        <v>13560</v>
      </c>
      <c r="C159" s="46">
        <v>7.73</v>
      </c>
      <c r="D159" s="46">
        <v>3.76</v>
      </c>
      <c r="E159" s="56">
        <v>1</v>
      </c>
      <c r="F159" s="57" t="s">
        <v>83</v>
      </c>
      <c r="G159" s="57"/>
      <c r="H159" s="57" t="s">
        <v>84</v>
      </c>
      <c r="I159" s="46">
        <f>B159*C159*((1-D159/100)+D159/100*0.8*1.4)</f>
        <v>105291.74242560001</v>
      </c>
      <c r="J159" s="212">
        <f>B159*C159*((1-D159/100)+D159/100*1*1.68)</f>
        <v>107498.8070784</v>
      </c>
      <c r="K159" s="30">
        <f>B159*C159*((1-D159/100)+D159/100*1.4*2.57)</f>
        <v>115058.00351424002</v>
      </c>
      <c r="L159" s="46" t="s">
        <v>41</v>
      </c>
      <c r="M159" s="9">
        <v>131489.52974528002</v>
      </c>
      <c r="N159" s="48" t="s">
        <v>129</v>
      </c>
      <c r="O159" s="49" t="s">
        <v>130</v>
      </c>
      <c r="P159" s="7">
        <v>1</v>
      </c>
      <c r="Q159" s="8">
        <f>32947.64*3.75</f>
        <v>123553.65</v>
      </c>
      <c r="R159" s="206" t="e">
        <f>J159-#REF!</f>
        <v>#REF!</v>
      </c>
      <c r="S159" s="206">
        <v>3.76</v>
      </c>
      <c r="T159" s="83">
        <v>15.08</v>
      </c>
      <c r="U159" s="206">
        <f>J159-J159*S159/100</f>
        <v>103456.85193225216</v>
      </c>
      <c r="V159" s="50">
        <f t="shared" si="14"/>
        <v>111660.90865969179</v>
      </c>
      <c r="W159" t="s">
        <v>131</v>
      </c>
    </row>
    <row r="160" spans="1:23" x14ac:dyDescent="0.25">
      <c r="A160" s="216"/>
      <c r="B160" s="46"/>
      <c r="C160" s="46"/>
      <c r="D160" s="46"/>
      <c r="E160" s="56"/>
      <c r="F160" s="57"/>
      <c r="G160" s="57"/>
      <c r="H160" s="57"/>
      <c r="I160" s="46"/>
      <c r="J160" s="217"/>
      <c r="K160" s="30"/>
      <c r="L160" s="209" t="s">
        <v>42</v>
      </c>
      <c r="M160" s="9">
        <v>147904.7336872</v>
      </c>
      <c r="N160" s="48" t="s">
        <v>152</v>
      </c>
      <c r="O160" s="49" t="s">
        <v>153</v>
      </c>
      <c r="P160" s="7">
        <v>30</v>
      </c>
      <c r="Q160" s="8">
        <f>1300.59*120</f>
        <v>156070.79999999999</v>
      </c>
      <c r="R160" s="215"/>
      <c r="S160" s="215"/>
      <c r="T160" s="83">
        <v>14.91</v>
      </c>
      <c r="U160" s="215"/>
      <c r="V160" s="50">
        <f t="shared" si="14"/>
        <v>125852.13789443848</v>
      </c>
      <c r="W160" t="s">
        <v>213</v>
      </c>
    </row>
    <row r="161" spans="1:23" x14ac:dyDescent="0.25">
      <c r="A161" s="216"/>
      <c r="B161" s="46"/>
      <c r="C161" s="46"/>
      <c r="D161" s="46"/>
      <c r="E161" s="56"/>
      <c r="F161" s="57"/>
      <c r="G161" s="57"/>
      <c r="H161" s="57"/>
      <c r="I161" s="46"/>
      <c r="J161" s="217"/>
      <c r="K161" s="30"/>
      <c r="L161" s="207"/>
      <c r="M161" s="9">
        <v>147904.7336872</v>
      </c>
      <c r="N161" s="48" t="s">
        <v>152</v>
      </c>
      <c r="O161" s="49" t="s">
        <v>153</v>
      </c>
      <c r="P161" s="7">
        <v>30</v>
      </c>
      <c r="Q161" s="8">
        <f>1300.59*60</f>
        <v>78035.399999999994</v>
      </c>
      <c r="R161" s="215"/>
      <c r="S161" s="215"/>
      <c r="T161" s="83">
        <v>14.91</v>
      </c>
      <c r="U161" s="215"/>
      <c r="V161" s="50">
        <f t="shared" si="14"/>
        <v>125852.13789443848</v>
      </c>
      <c r="W161" t="s">
        <v>214</v>
      </c>
    </row>
    <row r="162" spans="1:23" ht="30" x14ac:dyDescent="0.25">
      <c r="A162" s="216"/>
      <c r="B162" s="46"/>
      <c r="C162" s="46"/>
      <c r="D162" s="46"/>
      <c r="E162" s="56"/>
      <c r="F162" s="57"/>
      <c r="G162" s="57"/>
      <c r="H162" s="57"/>
      <c r="I162" s="46"/>
      <c r="J162" s="217"/>
      <c r="K162" s="30"/>
      <c r="L162" s="207"/>
      <c r="M162" s="9">
        <v>147904.7336872</v>
      </c>
      <c r="N162" s="48" t="s">
        <v>155</v>
      </c>
      <c r="O162" s="49" t="s">
        <v>156</v>
      </c>
      <c r="P162" s="7">
        <v>28</v>
      </c>
      <c r="Q162" s="8">
        <f>1448.06*56+3036.12*10</f>
        <v>111452.56</v>
      </c>
      <c r="R162" s="215"/>
      <c r="S162" s="215"/>
      <c r="T162" s="83">
        <v>14.91</v>
      </c>
      <c r="U162" s="215"/>
      <c r="V162" s="50">
        <f t="shared" si="14"/>
        <v>125852.13789443848</v>
      </c>
      <c r="W162" t="s">
        <v>215</v>
      </c>
    </row>
    <row r="163" spans="1:23" ht="15" customHeight="1" x14ac:dyDescent="0.25">
      <c r="A163" s="211"/>
      <c r="B163" s="46"/>
      <c r="C163" s="46"/>
      <c r="D163" s="46"/>
      <c r="E163" s="56"/>
      <c r="F163" s="57"/>
      <c r="G163" s="57"/>
      <c r="H163" s="57"/>
      <c r="I163" s="46"/>
      <c r="J163" s="213"/>
      <c r="K163" s="30"/>
      <c r="L163" s="207"/>
      <c r="M163" s="9">
        <v>147904.7336872</v>
      </c>
      <c r="N163" s="48" t="s">
        <v>155</v>
      </c>
      <c r="O163" s="49" t="s">
        <v>156</v>
      </c>
      <c r="P163" s="7">
        <v>28</v>
      </c>
      <c r="Q163" s="8">
        <f>1448.06*56+3036.12*20</f>
        <v>141813.76000000001</v>
      </c>
      <c r="R163" s="214"/>
      <c r="S163" s="214"/>
      <c r="T163" s="83">
        <v>14.91</v>
      </c>
      <c r="U163" s="214"/>
      <c r="V163" s="50">
        <f t="shared" si="14"/>
        <v>125852.13789443848</v>
      </c>
      <c r="W163" t="s">
        <v>216</v>
      </c>
    </row>
    <row r="164" spans="1:23" ht="15" customHeight="1" x14ac:dyDescent="0.25">
      <c r="A164" s="210" t="s">
        <v>29</v>
      </c>
      <c r="B164" s="46"/>
      <c r="C164" s="46"/>
      <c r="D164" s="46"/>
      <c r="E164" s="56"/>
      <c r="F164" s="57"/>
      <c r="G164" s="57"/>
      <c r="H164" s="57"/>
      <c r="I164" s="46"/>
      <c r="J164" s="212">
        <f>B165*C165*((1-D165/100)+D165/100*1*1.68)</f>
        <v>159583.16519999999</v>
      </c>
      <c r="K164" s="30"/>
      <c r="L164" s="207"/>
      <c r="M164" s="9">
        <v>147904.7336872</v>
      </c>
      <c r="N164" s="48" t="s">
        <v>159</v>
      </c>
      <c r="O164" s="49" t="s">
        <v>160</v>
      </c>
      <c r="P164" s="7">
        <v>21</v>
      </c>
      <c r="Q164" s="8">
        <f>3546.32*21+3036.12*10</f>
        <v>104833.92</v>
      </c>
      <c r="R164" s="59"/>
      <c r="S164" s="59"/>
      <c r="T164" s="83">
        <v>14.91</v>
      </c>
      <c r="U164" s="206">
        <f>J164-J164*S165/100</f>
        <v>148763.42659943999</v>
      </c>
      <c r="V164" s="50">
        <f t="shared" si="14"/>
        <v>125852.13789443848</v>
      </c>
      <c r="W164" t="s">
        <v>217</v>
      </c>
    </row>
    <row r="165" spans="1:23" ht="30" x14ac:dyDescent="0.25">
      <c r="A165" s="216"/>
      <c r="B165" s="46">
        <v>13560</v>
      </c>
      <c r="C165" s="46">
        <v>11.25</v>
      </c>
      <c r="D165" s="46">
        <v>6.78</v>
      </c>
      <c r="E165" s="56">
        <v>1</v>
      </c>
      <c r="F165" s="57" t="s">
        <v>83</v>
      </c>
      <c r="G165" s="57"/>
      <c r="H165" s="57" t="s">
        <v>84</v>
      </c>
      <c r="I165" s="46">
        <f>B165*C165*((1-D165/100)+D165/100*0.8*1.4)</f>
        <v>153791.14679999999</v>
      </c>
      <c r="J165" s="217"/>
      <c r="K165" s="30">
        <f>B165*C165*((1-D165/100)+D165/100*1.4*2.57)</f>
        <v>179420.82822000002</v>
      </c>
      <c r="L165" s="208"/>
      <c r="M165" s="9">
        <v>147904.7336872</v>
      </c>
      <c r="N165" s="48" t="s">
        <v>159</v>
      </c>
      <c r="O165" s="49" t="s">
        <v>160</v>
      </c>
      <c r="P165" s="7">
        <v>21</v>
      </c>
      <c r="Q165" s="8">
        <f>3546.32*21+3036.12*20</f>
        <v>135195.12</v>
      </c>
      <c r="R165" s="206" t="e">
        <f>J164-#REF!</f>
        <v>#REF!</v>
      </c>
      <c r="S165" s="206">
        <v>6.78</v>
      </c>
      <c r="T165" s="83">
        <v>14.91</v>
      </c>
      <c r="U165" s="215"/>
      <c r="V165" s="50">
        <f t="shared" si="14"/>
        <v>125852.13789443848</v>
      </c>
      <c r="W165" t="s">
        <v>218</v>
      </c>
    </row>
    <row r="166" spans="1:23" ht="30" x14ac:dyDescent="0.25">
      <c r="A166" s="216"/>
      <c r="B166" s="46"/>
      <c r="C166" s="46"/>
      <c r="D166" s="46"/>
      <c r="E166" s="56"/>
      <c r="F166" s="57"/>
      <c r="G166" s="57"/>
      <c r="H166" s="57"/>
      <c r="I166" s="46"/>
      <c r="J166" s="217"/>
      <c r="K166" s="30"/>
      <c r="L166" s="209" t="s">
        <v>43</v>
      </c>
      <c r="M166" s="9">
        <v>200628.11311200002</v>
      </c>
      <c r="N166" s="48" t="s">
        <v>163</v>
      </c>
      <c r="O166" s="49" t="s">
        <v>164</v>
      </c>
      <c r="P166" s="7">
        <v>21</v>
      </c>
      <c r="Q166" s="8">
        <f>3036.12*10+1811.98*63</f>
        <v>144515.94</v>
      </c>
      <c r="R166" s="215"/>
      <c r="S166" s="215"/>
      <c r="T166" s="83">
        <v>9.99</v>
      </c>
      <c r="U166" s="215"/>
      <c r="V166" s="50">
        <f t="shared" si="14"/>
        <v>180585.36461211121</v>
      </c>
      <c r="W166" t="s">
        <v>219</v>
      </c>
    </row>
    <row r="167" spans="1:23" ht="30" x14ac:dyDescent="0.25">
      <c r="A167" s="211"/>
      <c r="B167" s="46"/>
      <c r="C167" s="46"/>
      <c r="D167" s="46"/>
      <c r="E167" s="56"/>
      <c r="F167" s="57"/>
      <c r="G167" s="57"/>
      <c r="H167" s="57"/>
      <c r="I167" s="46"/>
      <c r="J167" s="213"/>
      <c r="K167" s="30"/>
      <c r="L167" s="207"/>
      <c r="M167" s="9">
        <v>200628.11311200002</v>
      </c>
      <c r="N167" s="48" t="s">
        <v>163</v>
      </c>
      <c r="O167" s="49" t="s">
        <v>164</v>
      </c>
      <c r="P167" s="7">
        <v>21</v>
      </c>
      <c r="Q167" s="8">
        <f>3036.12*20+1811.98*63</f>
        <v>174877.14</v>
      </c>
      <c r="R167" s="208"/>
      <c r="S167" s="214"/>
      <c r="T167" s="83">
        <v>9.99</v>
      </c>
      <c r="U167" s="214"/>
      <c r="V167" s="50">
        <f t="shared" si="14"/>
        <v>180585.36461211121</v>
      </c>
      <c r="W167" t="s">
        <v>220</v>
      </c>
    </row>
    <row r="168" spans="1:23" x14ac:dyDescent="0.25">
      <c r="A168" s="210" t="s">
        <v>30</v>
      </c>
      <c r="B168" s="46">
        <v>13560</v>
      </c>
      <c r="C168" s="46">
        <v>15.26</v>
      </c>
      <c r="D168" s="46">
        <v>0.43</v>
      </c>
      <c r="E168" s="56">
        <v>1</v>
      </c>
      <c r="F168" s="57" t="s">
        <v>83</v>
      </c>
      <c r="G168" s="57"/>
      <c r="H168" s="57" t="s">
        <v>84</v>
      </c>
      <c r="I168" s="46">
        <f>B168*C168*((1-D168/100)+D168/100*0.8*1.4)</f>
        <v>207032.37360960001</v>
      </c>
      <c r="J168" s="212">
        <f>B168*C168*((1-D168/100)+D168/100*1*1.68)</f>
        <v>207530.65045439999</v>
      </c>
      <c r="K168" s="30">
        <f>B168*C168*((1-D168/100)+D168/100*1.4*2.57)</f>
        <v>209237.24864784002</v>
      </c>
      <c r="L168" s="208"/>
      <c r="M168" s="9">
        <v>200628.11311200002</v>
      </c>
      <c r="N168" s="48" t="s">
        <v>132</v>
      </c>
      <c r="O168" s="49" t="s">
        <v>133</v>
      </c>
      <c r="P168" s="7">
        <v>1</v>
      </c>
      <c r="Q168" s="8">
        <f>8541.35*22.5</f>
        <v>192180.375</v>
      </c>
      <c r="R168" s="206" t="e">
        <f>J168-#REF!</f>
        <v>#REF!</v>
      </c>
      <c r="S168" s="206">
        <v>0.43</v>
      </c>
      <c r="T168" s="83">
        <v>9.99</v>
      </c>
      <c r="U168" s="206">
        <f>J168-J168*S168/100</f>
        <v>206638.26865744608</v>
      </c>
      <c r="V168" s="50">
        <f t="shared" si="14"/>
        <v>180585.36461211121</v>
      </c>
      <c r="W168" t="s">
        <v>134</v>
      </c>
    </row>
    <row r="169" spans="1:23" x14ac:dyDescent="0.25">
      <c r="A169" s="216"/>
      <c r="B169" s="46"/>
      <c r="C169" s="46"/>
      <c r="D169" s="46"/>
      <c r="E169" s="56"/>
      <c r="F169" s="57"/>
      <c r="G169" s="57"/>
      <c r="H169" s="57"/>
      <c r="I169" s="46"/>
      <c r="J169" s="217"/>
      <c r="K169" s="30"/>
      <c r="L169" s="209" t="s">
        <v>44</v>
      </c>
      <c r="M169" s="9">
        <v>235951.95814736004</v>
      </c>
      <c r="N169" s="48" t="s">
        <v>135</v>
      </c>
      <c r="O169" s="49" t="s">
        <v>136</v>
      </c>
      <c r="P169" s="7">
        <v>1</v>
      </c>
      <c r="Q169" s="8">
        <f>8541.35*24</f>
        <v>204992.40000000002</v>
      </c>
      <c r="R169" s="207"/>
      <c r="S169" s="215"/>
      <c r="T169" s="83">
        <v>8.49</v>
      </c>
      <c r="U169" s="207"/>
      <c r="V169" s="50">
        <f t="shared" si="14"/>
        <v>215919.63690064917</v>
      </c>
      <c r="W169" t="s">
        <v>137</v>
      </c>
    </row>
    <row r="170" spans="1:23" x14ac:dyDescent="0.25">
      <c r="A170" s="211"/>
      <c r="B170" s="46"/>
      <c r="C170" s="46"/>
      <c r="D170" s="46"/>
      <c r="E170" s="56"/>
      <c r="F170" s="57"/>
      <c r="G170" s="57"/>
      <c r="H170" s="57"/>
      <c r="I170" s="46"/>
      <c r="J170" s="213"/>
      <c r="K170" s="30"/>
      <c r="L170" s="208"/>
      <c r="M170" s="9">
        <v>235951.95814736004</v>
      </c>
      <c r="N170" s="79" t="s">
        <v>138</v>
      </c>
      <c r="O170" s="49" t="s">
        <v>139</v>
      </c>
      <c r="P170" s="7">
        <v>1</v>
      </c>
      <c r="Q170" s="8">
        <f>15924.56*15</f>
        <v>238868.4</v>
      </c>
      <c r="R170" s="208"/>
      <c r="S170" s="214"/>
      <c r="T170" s="83">
        <v>8.49</v>
      </c>
      <c r="U170" s="208"/>
      <c r="V170" s="50">
        <f t="shared" si="14"/>
        <v>215919.63690064917</v>
      </c>
      <c r="W170" t="s">
        <v>140</v>
      </c>
    </row>
    <row r="171" spans="1:23" x14ac:dyDescent="0.25">
      <c r="A171" s="53" t="s">
        <v>31</v>
      </c>
      <c r="B171" s="9"/>
      <c r="C171" s="9"/>
      <c r="D171" s="9"/>
      <c r="E171" s="10"/>
      <c r="F171" s="11"/>
      <c r="G171" s="11"/>
      <c r="H171" s="11"/>
      <c r="I171" s="9"/>
      <c r="J171" s="9">
        <v>324109.73145600001</v>
      </c>
      <c r="K171" s="30"/>
      <c r="L171" s="209" t="s">
        <v>45</v>
      </c>
      <c r="M171" s="9">
        <v>386057.26453951997</v>
      </c>
      <c r="N171" s="48" t="s">
        <v>141</v>
      </c>
      <c r="O171" s="49" t="s">
        <v>142</v>
      </c>
      <c r="P171" s="7">
        <v>1</v>
      </c>
      <c r="Q171" s="8">
        <f>41539.46*8</f>
        <v>332315.68</v>
      </c>
      <c r="R171" s="47" t="e">
        <f>J171-#REF!</f>
        <v>#REF!</v>
      </c>
      <c r="S171" s="47">
        <v>0.32</v>
      </c>
      <c r="T171" s="83">
        <v>2.82</v>
      </c>
      <c r="U171" s="47">
        <f>J171-J171*S171/100</f>
        <v>323072.58031534083</v>
      </c>
      <c r="V171" s="50">
        <f t="shared" si="14"/>
        <v>375170.44967950549</v>
      </c>
      <c r="W171" t="s">
        <v>143</v>
      </c>
    </row>
    <row r="172" spans="1:23" x14ac:dyDescent="0.25">
      <c r="A172" s="210" t="s">
        <v>32</v>
      </c>
      <c r="B172" s="46">
        <v>13560</v>
      </c>
      <c r="C172" s="46">
        <v>35.24</v>
      </c>
      <c r="D172" s="46">
        <v>0.67</v>
      </c>
      <c r="E172" s="56">
        <v>1</v>
      </c>
      <c r="F172" s="57" t="s">
        <v>83</v>
      </c>
      <c r="G172" s="57"/>
      <c r="H172" s="57" t="s">
        <v>84</v>
      </c>
      <c r="I172" s="46">
        <f>B172*C172*((1-D172/100)+D172/100*0.8*1.4)</f>
        <v>478238.59493760002</v>
      </c>
      <c r="J172" s="212">
        <f>B172*C172*((1-D172/100)+D172/100*1*1.68)</f>
        <v>480031.50464640005</v>
      </c>
      <c r="K172" s="30">
        <f>B172*C172*((1-D172/100)+D172/100*1.4*2.57)</f>
        <v>486172.22039903997</v>
      </c>
      <c r="L172" s="208"/>
      <c r="M172" s="9">
        <v>386057.26453951997</v>
      </c>
      <c r="N172" s="48" t="s">
        <v>144</v>
      </c>
      <c r="O172" s="49" t="s">
        <v>145</v>
      </c>
      <c r="P172" s="7">
        <v>1</v>
      </c>
      <c r="Q172" s="8">
        <f>8541.35*48</f>
        <v>409984.80000000005</v>
      </c>
      <c r="R172" s="206" t="e">
        <f>J172-#REF!</f>
        <v>#REF!</v>
      </c>
      <c r="S172" s="206">
        <v>0.67</v>
      </c>
      <c r="T172" s="83">
        <v>2.82</v>
      </c>
      <c r="U172" s="206">
        <f>J172-J172*S172/100</f>
        <v>476815.29356526915</v>
      </c>
      <c r="V172" s="50">
        <f t="shared" si="14"/>
        <v>375170.44967950549</v>
      </c>
      <c r="W172" t="s">
        <v>146</v>
      </c>
    </row>
    <row r="173" spans="1:23" x14ac:dyDescent="0.25">
      <c r="A173" s="211"/>
      <c r="B173" s="46"/>
      <c r="C173" s="46"/>
      <c r="D173" s="46"/>
      <c r="E173" s="56"/>
      <c r="F173" s="57"/>
      <c r="G173" s="57"/>
      <c r="H173" s="57"/>
      <c r="I173" s="46"/>
      <c r="J173" s="213"/>
      <c r="K173" s="30"/>
      <c r="L173" s="52" t="s">
        <v>46</v>
      </c>
      <c r="M173" s="9">
        <v>789574.36594960012</v>
      </c>
      <c r="N173" s="48" t="s">
        <v>149</v>
      </c>
      <c r="O173" s="49" t="s">
        <v>150</v>
      </c>
      <c r="P173" s="7">
        <v>1</v>
      </c>
      <c r="Q173" s="8">
        <f>41539.46*16</f>
        <v>664631.36</v>
      </c>
      <c r="R173" s="208"/>
      <c r="S173" s="214"/>
      <c r="T173" s="83">
        <v>0.23</v>
      </c>
      <c r="U173" s="208"/>
      <c r="V173" s="50">
        <f t="shared" si="14"/>
        <v>787758.34490791603</v>
      </c>
      <c r="W173" t="s">
        <v>151</v>
      </c>
    </row>
    <row r="174" spans="1:23" x14ac:dyDescent="0.25">
      <c r="A174" s="62" t="s">
        <v>32</v>
      </c>
      <c r="B174" s="63"/>
      <c r="C174" s="63"/>
      <c r="D174" s="63"/>
      <c r="E174" s="64"/>
      <c r="F174" s="65"/>
      <c r="G174" s="65"/>
      <c r="H174" s="64"/>
      <c r="I174" s="63"/>
      <c r="J174" s="66">
        <v>480031.50464640005</v>
      </c>
      <c r="K174" s="67"/>
      <c r="L174" s="52" t="s">
        <v>46</v>
      </c>
      <c r="M174" s="50">
        <v>789574.36594960012</v>
      </c>
      <c r="N174" s="7" t="s">
        <v>147</v>
      </c>
      <c r="O174" s="49" t="s">
        <v>148</v>
      </c>
      <c r="P174" s="7">
        <v>1</v>
      </c>
      <c r="Q174" s="51">
        <f>8541.35*7.5+19821.56*45</f>
        <v>956030.32500000007</v>
      </c>
      <c r="R174" s="85"/>
      <c r="S174" s="8">
        <v>0.67</v>
      </c>
      <c r="T174" s="8">
        <v>0.23</v>
      </c>
      <c r="U174" s="8">
        <f>J174-J174*S174/100</f>
        <v>476815.29356526915</v>
      </c>
      <c r="V174" s="50">
        <f t="shared" si="14"/>
        <v>787758.34490791603</v>
      </c>
      <c r="W174" t="s">
        <v>324</v>
      </c>
    </row>
    <row r="175" spans="1:23" ht="15.75" thickBot="1" x14ac:dyDescent="0.3"/>
    <row r="176" spans="1:23" ht="19.5" thickBot="1" x14ac:dyDescent="0.35">
      <c r="A176" s="232" t="s">
        <v>221</v>
      </c>
      <c r="B176" s="233"/>
      <c r="C176" s="233"/>
      <c r="D176" s="233"/>
      <c r="E176" s="233"/>
      <c r="F176" s="233"/>
      <c r="G176" s="233"/>
      <c r="H176" s="233"/>
      <c r="I176" s="233"/>
      <c r="J176" s="233"/>
      <c r="K176" s="234"/>
      <c r="L176" s="40"/>
      <c r="M176" s="40"/>
      <c r="N176" s="41"/>
      <c r="O176" s="42"/>
      <c r="P176" s="42"/>
      <c r="Q176" s="73"/>
      <c r="R176" s="73"/>
    </row>
    <row r="177" spans="1:23" x14ac:dyDescent="0.25">
      <c r="A177" s="235" t="s">
        <v>112</v>
      </c>
      <c r="B177" s="236" t="s">
        <v>10</v>
      </c>
      <c r="C177" s="236" t="s">
        <v>11</v>
      </c>
      <c r="D177" s="236" t="s">
        <v>12</v>
      </c>
      <c r="E177" s="238" t="s">
        <v>13</v>
      </c>
      <c r="F177" s="238"/>
      <c r="G177" s="238"/>
      <c r="H177" s="236" t="s">
        <v>222</v>
      </c>
      <c r="I177" s="182" t="s">
        <v>15</v>
      </c>
      <c r="J177" s="182" t="s">
        <v>114</v>
      </c>
      <c r="K177" s="182" t="s">
        <v>17</v>
      </c>
      <c r="L177" s="188" t="s">
        <v>115</v>
      </c>
      <c r="M177" s="188" t="s">
        <v>116</v>
      </c>
      <c r="N177" s="227" t="s">
        <v>117</v>
      </c>
      <c r="O177" s="229" t="s">
        <v>169</v>
      </c>
      <c r="P177" s="231" t="s">
        <v>119</v>
      </c>
      <c r="Q177" s="218" t="s">
        <v>120</v>
      </c>
      <c r="R177" s="240" t="s">
        <v>121</v>
      </c>
      <c r="S177" s="242" t="s">
        <v>122</v>
      </c>
      <c r="T177" s="219" t="s">
        <v>123</v>
      </c>
      <c r="U177" s="219" t="s">
        <v>170</v>
      </c>
      <c r="V177" s="183" t="s">
        <v>125</v>
      </c>
      <c r="W177" t="s">
        <v>329</v>
      </c>
    </row>
    <row r="178" spans="1:23" ht="75" x14ac:dyDescent="0.25">
      <c r="A178" s="227"/>
      <c r="B178" s="237"/>
      <c r="C178" s="237"/>
      <c r="D178" s="237"/>
      <c r="E178" s="76" t="s">
        <v>223</v>
      </c>
      <c r="F178" s="76" t="s">
        <v>76</v>
      </c>
      <c r="G178" s="76" t="s">
        <v>128</v>
      </c>
      <c r="H178" s="237"/>
      <c r="I178" s="183"/>
      <c r="J178" s="183"/>
      <c r="K178" s="183"/>
      <c r="L178" s="184"/>
      <c r="M178" s="184"/>
      <c r="N178" s="228"/>
      <c r="O178" s="230"/>
      <c r="P178" s="229"/>
      <c r="Q178" s="219"/>
      <c r="R178" s="241"/>
      <c r="S178" s="240"/>
      <c r="T178" s="219"/>
      <c r="U178" s="219"/>
      <c r="V178" s="183"/>
    </row>
    <row r="179" spans="1:23" x14ac:dyDescent="0.25">
      <c r="A179" s="45" t="s">
        <v>21</v>
      </c>
      <c r="B179" s="9">
        <v>23573.41</v>
      </c>
      <c r="C179" s="9">
        <v>4.2300000000000004</v>
      </c>
      <c r="D179" s="9">
        <v>17.54</v>
      </c>
      <c r="E179" s="10">
        <v>1</v>
      </c>
      <c r="F179" s="11" t="s">
        <v>89</v>
      </c>
      <c r="G179" s="11"/>
      <c r="H179" s="11">
        <v>1.113</v>
      </c>
      <c r="I179" s="9">
        <f>B179*C179*((1-D179/100)+D179/100*0.8*1.113)</f>
        <v>97798.609015340699</v>
      </c>
      <c r="J179" s="9">
        <f>B179*C179*((1-D179/100)+D179/100*1.1*1.113)</f>
        <v>103638.55439442596</v>
      </c>
      <c r="K179" s="30">
        <f>B179*C179*((1-D179/100)+D179/100*1.15*1.113)</f>
        <v>104611.87862427349</v>
      </c>
      <c r="L179" s="46" t="s">
        <v>34</v>
      </c>
      <c r="M179" s="9">
        <v>121797.91114031692</v>
      </c>
      <c r="N179" s="48" t="s">
        <v>129</v>
      </c>
      <c r="O179" s="49" t="s">
        <v>130</v>
      </c>
      <c r="P179" s="7">
        <v>1</v>
      </c>
      <c r="Q179" s="8">
        <f>32947.64*3.75</f>
        <v>123553.65</v>
      </c>
      <c r="R179" s="8" t="e">
        <f>J179-#REF!</f>
        <v>#REF!</v>
      </c>
      <c r="S179" s="8">
        <v>17.54</v>
      </c>
      <c r="T179" s="82">
        <v>5.84</v>
      </c>
      <c r="U179" s="8">
        <f>J179-S179*J179/100</f>
        <v>85460.351953643636</v>
      </c>
      <c r="V179" s="50">
        <f t="shared" ref="V179:V202" si="17">M179-T179*M179/100</f>
        <v>114684.91312972241</v>
      </c>
      <c r="W179" t="s">
        <v>131</v>
      </c>
    </row>
    <row r="180" spans="1:23" x14ac:dyDescent="0.25">
      <c r="A180" s="210" t="s">
        <v>23</v>
      </c>
      <c r="B180" s="9">
        <v>23573.41</v>
      </c>
      <c r="C180" s="9">
        <v>8.49</v>
      </c>
      <c r="D180" s="9">
        <v>7.19</v>
      </c>
      <c r="E180" s="10">
        <v>1</v>
      </c>
      <c r="F180" s="11" t="s">
        <v>89</v>
      </c>
      <c r="G180" s="11"/>
      <c r="H180" s="11">
        <v>1.113</v>
      </c>
      <c r="I180" s="9">
        <f t="shared" ref="I180:I186" si="18">B180*C180*((1-D180/100)+D180/100*0.8*1.113)</f>
        <v>198561.1134497278</v>
      </c>
      <c r="J180" s="221">
        <f>B180*C180*((1-D180/100)+D180/100*1.1*1.113)</f>
        <v>203365.91449576698</v>
      </c>
      <c r="K180" s="30">
        <f t="shared" ref="K180:K186" si="19">B180*C180*((1-D180/100)+D180/100*1.15*1.113)</f>
        <v>204166.71467010686</v>
      </c>
      <c r="L180" s="212" t="s">
        <v>36</v>
      </c>
      <c r="M180" s="9">
        <v>200292.05350999284</v>
      </c>
      <c r="N180" s="48" t="s">
        <v>132</v>
      </c>
      <c r="O180" s="49" t="s">
        <v>133</v>
      </c>
      <c r="P180" s="7">
        <v>1</v>
      </c>
      <c r="Q180" s="8">
        <f>8575.93*22.5</f>
        <v>192958.42500000002</v>
      </c>
      <c r="R180" s="224" t="e">
        <f>J180-#REF!</f>
        <v>#REF!</v>
      </c>
      <c r="S180" s="224">
        <v>7.19</v>
      </c>
      <c r="T180" s="82">
        <v>3.32</v>
      </c>
      <c r="U180" s="224">
        <f>J180-S180*J180/100</f>
        <v>188743.90524352132</v>
      </c>
      <c r="V180" s="50">
        <f t="shared" si="17"/>
        <v>193642.35733346108</v>
      </c>
      <c r="W180" t="s">
        <v>134</v>
      </c>
    </row>
    <row r="181" spans="1:23" x14ac:dyDescent="0.25">
      <c r="A181" s="216"/>
      <c r="B181" s="9"/>
      <c r="C181" s="9"/>
      <c r="D181" s="9"/>
      <c r="E181" s="10"/>
      <c r="F181" s="11"/>
      <c r="G181" s="11"/>
      <c r="H181" s="11"/>
      <c r="I181" s="9"/>
      <c r="J181" s="222"/>
      <c r="K181" s="30"/>
      <c r="L181" s="213"/>
      <c r="M181" s="9">
        <v>200292.05350999284</v>
      </c>
      <c r="N181" s="48" t="s">
        <v>135</v>
      </c>
      <c r="O181" s="49" t="s">
        <v>136</v>
      </c>
      <c r="P181" s="7">
        <v>1</v>
      </c>
      <c r="Q181" s="8">
        <f>8575.93*24</f>
        <v>205822.32</v>
      </c>
      <c r="R181" s="225"/>
      <c r="S181" s="225"/>
      <c r="T181" s="82">
        <v>3.32</v>
      </c>
      <c r="U181" s="225"/>
      <c r="V181" s="50">
        <f t="shared" si="17"/>
        <v>193642.35733346108</v>
      </c>
      <c r="W181" t="s">
        <v>137</v>
      </c>
    </row>
    <row r="182" spans="1:23" x14ac:dyDescent="0.25">
      <c r="A182" s="211"/>
      <c r="B182" s="9"/>
      <c r="C182" s="9"/>
      <c r="D182" s="9"/>
      <c r="E182" s="10"/>
      <c r="F182" s="11"/>
      <c r="G182" s="11"/>
      <c r="H182" s="11"/>
      <c r="I182" s="9"/>
      <c r="J182" s="223"/>
      <c r="K182" s="30"/>
      <c r="L182" s="52" t="s">
        <v>37</v>
      </c>
      <c r="M182" s="9">
        <v>250269.86837800566</v>
      </c>
      <c r="N182" s="48" t="s">
        <v>138</v>
      </c>
      <c r="O182" s="49" t="s">
        <v>139</v>
      </c>
      <c r="P182" s="7">
        <v>1</v>
      </c>
      <c r="Q182" s="8">
        <f>15537.5*15</f>
        <v>233062.5</v>
      </c>
      <c r="R182" s="226"/>
      <c r="S182" s="226"/>
      <c r="T182" s="82">
        <v>2.15</v>
      </c>
      <c r="U182" s="226"/>
      <c r="V182" s="50">
        <f t="shared" si="17"/>
        <v>244889.06620787852</v>
      </c>
      <c r="W182" t="s">
        <v>140</v>
      </c>
    </row>
    <row r="183" spans="1:23" x14ac:dyDescent="0.25">
      <c r="A183" s="53" t="s">
        <v>24</v>
      </c>
      <c r="B183" s="9"/>
      <c r="C183" s="9"/>
      <c r="D183" s="9"/>
      <c r="E183" s="10"/>
      <c r="F183" s="11"/>
      <c r="G183" s="11"/>
      <c r="H183" s="11"/>
      <c r="I183" s="9"/>
      <c r="J183" s="9">
        <v>316749.34000000003</v>
      </c>
      <c r="K183" s="30"/>
      <c r="L183" s="52" t="s">
        <v>38</v>
      </c>
      <c r="M183" s="9">
        <v>342640.41040431976</v>
      </c>
      <c r="N183" s="78" t="s">
        <v>141</v>
      </c>
      <c r="O183" s="49" t="s">
        <v>142</v>
      </c>
      <c r="P183" s="7">
        <v>1</v>
      </c>
      <c r="Q183" s="8">
        <f>43462.95*8</f>
        <v>347703.6</v>
      </c>
      <c r="R183" s="8" t="e">
        <f>J183-#REF!</f>
        <v>#REF!</v>
      </c>
      <c r="S183" s="8">
        <v>1.89</v>
      </c>
      <c r="T183" s="82">
        <v>1.55</v>
      </c>
      <c r="U183" s="8">
        <f>J183-S183*J183/100</f>
        <v>310762.777474</v>
      </c>
      <c r="V183" s="50">
        <f t="shared" si="17"/>
        <v>337329.48404305283</v>
      </c>
      <c r="W183" t="s">
        <v>143</v>
      </c>
    </row>
    <row r="184" spans="1:23" x14ac:dyDescent="0.25">
      <c r="A184" s="53" t="s">
        <v>26</v>
      </c>
      <c r="B184" s="9">
        <v>23573.41</v>
      </c>
      <c r="C184" s="9">
        <v>17.89</v>
      </c>
      <c r="D184" s="9">
        <v>2.44</v>
      </c>
      <c r="E184" s="10">
        <v>1</v>
      </c>
      <c r="F184" s="11" t="s">
        <v>89</v>
      </c>
      <c r="G184" s="11"/>
      <c r="H184" s="11">
        <v>1.113</v>
      </c>
      <c r="I184" s="9">
        <f t="shared" si="18"/>
        <v>420600.50219790422</v>
      </c>
      <c r="J184" s="9">
        <f>B184*C184*((1-D184/100)+D184/100*1.1*1.113)</f>
        <v>424036.39017445332</v>
      </c>
      <c r="K184" s="30">
        <f t="shared" si="19"/>
        <v>424609.03817054484</v>
      </c>
      <c r="L184" s="52" t="s">
        <v>39</v>
      </c>
      <c r="M184" s="9">
        <v>424868.16245129704</v>
      </c>
      <c r="N184" s="48" t="s">
        <v>144</v>
      </c>
      <c r="O184" s="49" t="s">
        <v>145</v>
      </c>
      <c r="P184" s="7">
        <v>1</v>
      </c>
      <c r="Q184" s="8">
        <f>8575.93*48</f>
        <v>411644.64</v>
      </c>
      <c r="R184" s="8" t="e">
        <f>J184-#REF!</f>
        <v>#REF!</v>
      </c>
      <c r="S184" s="8">
        <v>2.44</v>
      </c>
      <c r="T184" s="82">
        <v>1.19</v>
      </c>
      <c r="U184" s="8">
        <f>J184-J184*S184/100</f>
        <v>413689.90225419664</v>
      </c>
      <c r="V184" s="50">
        <f t="shared" si="17"/>
        <v>419812.23131812661</v>
      </c>
      <c r="W184" t="s">
        <v>146</v>
      </c>
    </row>
    <row r="185" spans="1:23" x14ac:dyDescent="0.25">
      <c r="A185" s="55" t="s">
        <v>27</v>
      </c>
      <c r="B185" s="9"/>
      <c r="C185" s="9"/>
      <c r="D185" s="9"/>
      <c r="E185" s="10"/>
      <c r="F185" s="11"/>
      <c r="G185" s="11"/>
      <c r="H185" s="10"/>
      <c r="I185" s="9"/>
      <c r="J185" s="9">
        <v>816503.26657936047</v>
      </c>
      <c r="K185" s="30"/>
      <c r="L185" s="52" t="s">
        <v>40</v>
      </c>
      <c r="M185" s="50">
        <v>719740.81955569633</v>
      </c>
      <c r="N185" t="s">
        <v>147</v>
      </c>
      <c r="O185" s="49" t="s">
        <v>148</v>
      </c>
      <c r="P185" s="7">
        <v>1</v>
      </c>
      <c r="Q185" s="8">
        <f>8575.93*7.5+19135.33*45</f>
        <v>925409.32500000007</v>
      </c>
      <c r="R185" s="8"/>
      <c r="S185" s="8">
        <v>0.73</v>
      </c>
      <c r="T185" s="8">
        <v>0.69</v>
      </c>
      <c r="U185" s="8">
        <f>J185-J185*S185/100</f>
        <v>810542.79273333109</v>
      </c>
      <c r="V185" s="50">
        <f t="shared" si="17"/>
        <v>714774.607900762</v>
      </c>
      <c r="W185" t="s">
        <v>324</v>
      </c>
    </row>
    <row r="186" spans="1:23" x14ac:dyDescent="0.25">
      <c r="A186" s="53" t="s">
        <v>27</v>
      </c>
      <c r="B186" s="9">
        <v>23573.41</v>
      </c>
      <c r="C186" s="9">
        <v>34.58</v>
      </c>
      <c r="D186" s="9">
        <v>0.73</v>
      </c>
      <c r="E186" s="10">
        <v>1</v>
      </c>
      <c r="F186" s="11" t="s">
        <v>89</v>
      </c>
      <c r="G186" s="11"/>
      <c r="H186" s="11">
        <v>1.113</v>
      </c>
      <c r="I186" s="9">
        <f t="shared" si="18"/>
        <v>814516.31777227856</v>
      </c>
      <c r="J186" s="9">
        <f>B186*C186*((1-D186/100)+D186/100*1.1*1.113)</f>
        <v>816503.26657936047</v>
      </c>
      <c r="K186" s="30">
        <f t="shared" si="19"/>
        <v>816834.42471387412</v>
      </c>
      <c r="L186" s="52" t="s">
        <v>40</v>
      </c>
      <c r="M186" s="9">
        <v>719740.81955569633</v>
      </c>
      <c r="N186" s="48" t="s">
        <v>149</v>
      </c>
      <c r="O186" s="49" t="s">
        <v>150</v>
      </c>
      <c r="P186" s="7">
        <v>1</v>
      </c>
      <c r="Q186" s="8">
        <f>43462.95*16</f>
        <v>695407.2</v>
      </c>
      <c r="R186" s="8" t="e">
        <f>J186-#REF!</f>
        <v>#REF!</v>
      </c>
      <c r="S186" s="8">
        <v>0.73</v>
      </c>
      <c r="T186" s="82">
        <v>0.69</v>
      </c>
      <c r="U186" s="8">
        <f>J186-J186*S186/100</f>
        <v>810542.79273333109</v>
      </c>
      <c r="V186" s="50">
        <f t="shared" si="17"/>
        <v>714774.607900762</v>
      </c>
      <c r="W186" t="s">
        <v>151</v>
      </c>
    </row>
    <row r="187" spans="1:23" x14ac:dyDescent="0.25">
      <c r="A187" s="210" t="s">
        <v>28</v>
      </c>
      <c r="B187" s="46">
        <v>13285.01</v>
      </c>
      <c r="C187" s="46">
        <v>7.73</v>
      </c>
      <c r="D187" s="46">
        <v>3.76</v>
      </c>
      <c r="E187" s="56" t="s">
        <v>173</v>
      </c>
      <c r="F187" s="57" t="s">
        <v>89</v>
      </c>
      <c r="G187" s="57"/>
      <c r="H187" s="57" t="s">
        <v>90</v>
      </c>
      <c r="I187" s="46">
        <f>B187*C187*((1-D187/100)+D187/100*0.8*1.105)</f>
        <v>102245.22095596833</v>
      </c>
      <c r="J187" s="212">
        <f>B187*C187*((1-D187/100)+D187/100*1*1.105)</f>
        <v>103098.55976658041</v>
      </c>
      <c r="K187" s="30">
        <f>B187*C187*((1-D187/100)+D187/100*1.2*1.15*1.21)</f>
        <v>105279.40031062432</v>
      </c>
      <c r="L187" s="46" t="s">
        <v>41</v>
      </c>
      <c r="M187" s="9">
        <v>121145.26363204939</v>
      </c>
      <c r="N187" s="48" t="s">
        <v>129</v>
      </c>
      <c r="O187" s="49" t="s">
        <v>130</v>
      </c>
      <c r="P187" s="7">
        <v>1</v>
      </c>
      <c r="Q187" s="8">
        <f>32947.64*3.75</f>
        <v>123553.65</v>
      </c>
      <c r="R187" s="206" t="e">
        <f>J187-#REF!</f>
        <v>#REF!</v>
      </c>
      <c r="S187" s="206">
        <v>3.76</v>
      </c>
      <c r="T187" s="83">
        <v>15.08</v>
      </c>
      <c r="U187" s="206">
        <f>J187-J187*S187/100</f>
        <v>99222.053919356986</v>
      </c>
      <c r="V187" s="50">
        <f t="shared" si="17"/>
        <v>102876.55787633634</v>
      </c>
      <c r="W187" t="s">
        <v>131</v>
      </c>
    </row>
    <row r="188" spans="1:23" x14ac:dyDescent="0.25">
      <c r="A188" s="216"/>
      <c r="B188" s="46"/>
      <c r="C188" s="46"/>
      <c r="D188" s="46"/>
      <c r="E188" s="56"/>
      <c r="F188" s="57"/>
      <c r="G188" s="57"/>
      <c r="H188" s="57"/>
      <c r="I188" s="46"/>
      <c r="J188" s="217"/>
      <c r="K188" s="30"/>
      <c r="L188" s="209" t="s">
        <v>42</v>
      </c>
      <c r="M188" s="9">
        <v>136388.14130373724</v>
      </c>
      <c r="N188" s="48" t="s">
        <v>152</v>
      </c>
      <c r="O188" s="49" t="s">
        <v>153</v>
      </c>
      <c r="P188" s="7">
        <v>30</v>
      </c>
      <c r="Q188" s="8">
        <f>1300.59*120</f>
        <v>156070.79999999999</v>
      </c>
      <c r="R188" s="215"/>
      <c r="S188" s="215"/>
      <c r="T188" s="83">
        <v>14.91</v>
      </c>
      <c r="U188" s="215"/>
      <c r="V188" s="50">
        <f t="shared" si="17"/>
        <v>116052.66943535002</v>
      </c>
      <c r="W188" t="s">
        <v>224</v>
      </c>
    </row>
    <row r="189" spans="1:23" x14ac:dyDescent="0.25">
      <c r="A189" s="216"/>
      <c r="B189" s="46"/>
      <c r="C189" s="46"/>
      <c r="D189" s="46"/>
      <c r="E189" s="56"/>
      <c r="F189" s="57"/>
      <c r="G189" s="57"/>
      <c r="H189" s="57"/>
      <c r="I189" s="46"/>
      <c r="J189" s="217"/>
      <c r="K189" s="30"/>
      <c r="L189" s="207"/>
      <c r="M189" s="9">
        <v>136388.14130373724</v>
      </c>
      <c r="N189" s="48" t="s">
        <v>152</v>
      </c>
      <c r="O189" s="49" t="s">
        <v>153</v>
      </c>
      <c r="P189" s="7">
        <v>30</v>
      </c>
      <c r="Q189" s="8">
        <f>1300.59*60</f>
        <v>78035.399999999994</v>
      </c>
      <c r="R189" s="215"/>
      <c r="S189" s="215"/>
      <c r="T189" s="83">
        <v>14.91</v>
      </c>
      <c r="U189" s="215"/>
      <c r="V189" s="50">
        <f t="shared" si="17"/>
        <v>116052.66943535002</v>
      </c>
      <c r="W189" t="s">
        <v>225</v>
      </c>
    </row>
    <row r="190" spans="1:23" ht="30" x14ac:dyDescent="0.25">
      <c r="A190" s="216"/>
      <c r="B190" s="46"/>
      <c r="C190" s="46"/>
      <c r="D190" s="46"/>
      <c r="E190" s="56"/>
      <c r="F190" s="57"/>
      <c r="G190" s="57"/>
      <c r="H190" s="57"/>
      <c r="I190" s="46"/>
      <c r="J190" s="217"/>
      <c r="K190" s="30"/>
      <c r="L190" s="207"/>
      <c r="M190" s="9">
        <v>136388.14130373724</v>
      </c>
      <c r="N190" s="48" t="s">
        <v>155</v>
      </c>
      <c r="O190" s="49" t="s">
        <v>156</v>
      </c>
      <c r="P190" s="7">
        <v>28</v>
      </c>
      <c r="Q190" s="8">
        <f>1300.59*56+2874.8*10</f>
        <v>101581.04</v>
      </c>
      <c r="R190" s="215"/>
      <c r="S190" s="215"/>
      <c r="T190" s="83">
        <v>14.91</v>
      </c>
      <c r="U190" s="215"/>
      <c r="V190" s="50">
        <f t="shared" si="17"/>
        <v>116052.66943535002</v>
      </c>
      <c r="W190" t="s">
        <v>226</v>
      </c>
    </row>
    <row r="191" spans="1:23" ht="15" customHeight="1" x14ac:dyDescent="0.25">
      <c r="A191" s="211"/>
      <c r="B191" s="46"/>
      <c r="C191" s="46"/>
      <c r="D191" s="46"/>
      <c r="E191" s="56"/>
      <c r="F191" s="57"/>
      <c r="G191" s="57"/>
      <c r="H191" s="57"/>
      <c r="I191" s="46"/>
      <c r="J191" s="213"/>
      <c r="K191" s="30"/>
      <c r="L191" s="207"/>
      <c r="M191" s="9">
        <v>136388.14130373724</v>
      </c>
      <c r="N191" s="48" t="s">
        <v>155</v>
      </c>
      <c r="O191" s="49" t="s">
        <v>156</v>
      </c>
      <c r="P191" s="7">
        <v>28</v>
      </c>
      <c r="Q191" s="8">
        <f>1300.59*56+2874.8*20</f>
        <v>130329.04</v>
      </c>
      <c r="R191" s="214"/>
      <c r="S191" s="214"/>
      <c r="T191" s="83">
        <v>14.91</v>
      </c>
      <c r="U191" s="214"/>
      <c r="V191" s="50">
        <f t="shared" si="17"/>
        <v>116052.66943535002</v>
      </c>
      <c r="W191" t="s">
        <v>227</v>
      </c>
    </row>
    <row r="192" spans="1:23" ht="15" customHeight="1" x14ac:dyDescent="0.25">
      <c r="A192" s="210" t="s">
        <v>29</v>
      </c>
      <c r="B192" s="46"/>
      <c r="C192" s="46"/>
      <c r="D192" s="46"/>
      <c r="E192" s="56"/>
      <c r="F192" s="57"/>
      <c r="G192" s="57"/>
      <c r="H192" s="57"/>
      <c r="I192" s="46"/>
      <c r="J192" s="212">
        <f>B193*C193*((1-D193/100)+D193/100*1*1.105)</f>
        <v>150520.34234463749</v>
      </c>
      <c r="K192" s="30"/>
      <c r="L192" s="207"/>
      <c r="M192" s="9">
        <v>136388.14130373724</v>
      </c>
      <c r="N192" s="48" t="s">
        <v>159</v>
      </c>
      <c r="O192" s="49" t="s">
        <v>160</v>
      </c>
      <c r="P192" s="7">
        <v>21</v>
      </c>
      <c r="Q192" s="8">
        <f>3490.46*21+2874.8*10</f>
        <v>102047.66</v>
      </c>
      <c r="R192" s="59"/>
      <c r="S192" s="59"/>
      <c r="T192" s="83">
        <v>14.91</v>
      </c>
      <c r="U192" s="206">
        <f>J192-J192*S193/100</f>
        <v>140315.06313367106</v>
      </c>
      <c r="V192" s="50">
        <f t="shared" si="17"/>
        <v>116052.66943535002</v>
      </c>
      <c r="W192" t="s">
        <v>228</v>
      </c>
    </row>
    <row r="193" spans="1:23" ht="30" x14ac:dyDescent="0.25">
      <c r="A193" s="216"/>
      <c r="B193" s="46">
        <v>13285.01</v>
      </c>
      <c r="C193" s="46">
        <v>11.25</v>
      </c>
      <c r="D193" s="46">
        <v>6.78</v>
      </c>
      <c r="E193" s="56" t="s">
        <v>173</v>
      </c>
      <c r="F193" s="57" t="s">
        <v>89</v>
      </c>
      <c r="G193" s="57"/>
      <c r="H193" s="57" t="s">
        <v>90</v>
      </c>
      <c r="I193" s="46">
        <f>B193*C193*((1-D193/100)+D193/100*0.8*1.105)</f>
        <v>148280.91810020999</v>
      </c>
      <c r="J193" s="217"/>
      <c r="K193" s="30">
        <f>B193*C193*((1-D193/100)+D193/100*1.2*1.15*1.21)</f>
        <v>156243.5405946495</v>
      </c>
      <c r="L193" s="208"/>
      <c r="M193" s="9">
        <v>136388.14130373724</v>
      </c>
      <c r="N193" s="48" t="s">
        <v>159</v>
      </c>
      <c r="O193" s="49" t="s">
        <v>160</v>
      </c>
      <c r="P193" s="7">
        <v>21</v>
      </c>
      <c r="Q193" s="8">
        <f>3490.46*21+2874.8*20</f>
        <v>130795.66</v>
      </c>
      <c r="R193" s="206" t="e">
        <f>J192-#REF!</f>
        <v>#REF!</v>
      </c>
      <c r="S193" s="206">
        <v>6.78</v>
      </c>
      <c r="T193" s="83">
        <v>14.91</v>
      </c>
      <c r="U193" s="215"/>
      <c r="V193" s="50">
        <f t="shared" si="17"/>
        <v>116052.66943535002</v>
      </c>
      <c r="W193" t="s">
        <v>229</v>
      </c>
    </row>
    <row r="194" spans="1:23" ht="30" x14ac:dyDescent="0.25">
      <c r="A194" s="216"/>
      <c r="B194" s="46"/>
      <c r="C194" s="46"/>
      <c r="D194" s="46"/>
      <c r="E194" s="56"/>
      <c r="F194" s="57"/>
      <c r="G194" s="57"/>
      <c r="H194" s="57"/>
      <c r="I194" s="46"/>
      <c r="J194" s="217"/>
      <c r="K194" s="30"/>
      <c r="L194" s="209" t="s">
        <v>43</v>
      </c>
      <c r="M194" s="9">
        <v>189831.57301194748</v>
      </c>
      <c r="N194" s="48" t="s">
        <v>163</v>
      </c>
      <c r="O194" s="49" t="s">
        <v>164</v>
      </c>
      <c r="P194" s="7">
        <v>21</v>
      </c>
      <c r="Q194" s="8">
        <f>2874.8*10+1785.21*63</f>
        <v>141216.22999999998</v>
      </c>
      <c r="R194" s="215"/>
      <c r="S194" s="215"/>
      <c r="T194" s="83">
        <v>9.99</v>
      </c>
      <c r="U194" s="215"/>
      <c r="V194" s="50">
        <f t="shared" si="17"/>
        <v>170867.39886805392</v>
      </c>
      <c r="W194" t="s">
        <v>230</v>
      </c>
    </row>
    <row r="195" spans="1:23" ht="30" x14ac:dyDescent="0.25">
      <c r="A195" s="211"/>
      <c r="B195" s="46"/>
      <c r="C195" s="46"/>
      <c r="D195" s="46"/>
      <c r="E195" s="56"/>
      <c r="F195" s="57"/>
      <c r="G195" s="57"/>
      <c r="H195" s="57"/>
      <c r="I195" s="46"/>
      <c r="J195" s="213"/>
      <c r="K195" s="30"/>
      <c r="L195" s="207"/>
      <c r="M195" s="9">
        <v>189831.57301194748</v>
      </c>
      <c r="N195" s="48" t="s">
        <v>163</v>
      </c>
      <c r="O195" s="49" t="s">
        <v>164</v>
      </c>
      <c r="P195" s="7">
        <v>21</v>
      </c>
      <c r="Q195" s="8">
        <f>2874.8*20+1785.21*63</f>
        <v>169964.22999999998</v>
      </c>
      <c r="R195" s="208"/>
      <c r="S195" s="214"/>
      <c r="T195" s="83">
        <v>9.99</v>
      </c>
      <c r="U195" s="214"/>
      <c r="V195" s="50">
        <f t="shared" si="17"/>
        <v>170867.39886805392</v>
      </c>
      <c r="W195" t="s">
        <v>231</v>
      </c>
    </row>
    <row r="196" spans="1:23" x14ac:dyDescent="0.25">
      <c r="A196" s="210" t="s">
        <v>30</v>
      </c>
      <c r="B196" s="46">
        <v>13285.01</v>
      </c>
      <c r="C196" s="46">
        <v>15.26</v>
      </c>
      <c r="D196" s="46">
        <v>0.43</v>
      </c>
      <c r="E196" s="56" t="s">
        <v>173</v>
      </c>
      <c r="F196" s="57" t="s">
        <v>89</v>
      </c>
      <c r="G196" s="57"/>
      <c r="H196" s="57" t="s">
        <v>90</v>
      </c>
      <c r="I196" s="46">
        <f>B196*C196*((1-D196/100)+D196/100*0.8*1.105)</f>
        <v>202628.13124880311</v>
      </c>
      <c r="J196" s="212">
        <f>B196*C196*((1-D196/100)+D196/100*1*1.105)</f>
        <v>202820.78485754892</v>
      </c>
      <c r="K196" s="30">
        <f>B196*C196*((1-D196/100)+D196/100*1.2*1.15*1.21)</f>
        <v>203313.14122958339</v>
      </c>
      <c r="L196" s="208"/>
      <c r="M196" s="9">
        <v>189831.57301194748</v>
      </c>
      <c r="N196" s="48" t="s">
        <v>132</v>
      </c>
      <c r="O196" s="49" t="s">
        <v>133</v>
      </c>
      <c r="P196" s="7">
        <v>1</v>
      </c>
      <c r="Q196" s="8">
        <f>8575.93*22.5</f>
        <v>192958.42500000002</v>
      </c>
      <c r="R196" s="206" t="e">
        <f>J196-#REF!</f>
        <v>#REF!</v>
      </c>
      <c r="S196" s="206">
        <v>0.43</v>
      </c>
      <c r="T196" s="83">
        <v>9.99</v>
      </c>
      <c r="U196" s="206">
        <f>J196-J196*S196/100</f>
        <v>201948.65548266144</v>
      </c>
      <c r="V196" s="50">
        <f t="shared" si="17"/>
        <v>170867.39886805392</v>
      </c>
      <c r="W196" t="s">
        <v>134</v>
      </c>
    </row>
    <row r="197" spans="1:23" x14ac:dyDescent="0.25">
      <c r="A197" s="216"/>
      <c r="B197" s="46"/>
      <c r="C197" s="46"/>
      <c r="D197" s="46"/>
      <c r="E197" s="56"/>
      <c r="F197" s="57"/>
      <c r="G197" s="57"/>
      <c r="H197" s="57"/>
      <c r="I197" s="46"/>
      <c r="J197" s="217"/>
      <c r="K197" s="30"/>
      <c r="L197" s="209" t="s">
        <v>44</v>
      </c>
      <c r="M197" s="9">
        <v>225056.08456466903</v>
      </c>
      <c r="N197" s="48" t="s">
        <v>135</v>
      </c>
      <c r="O197" s="49" t="s">
        <v>136</v>
      </c>
      <c r="P197" s="7">
        <v>1</v>
      </c>
      <c r="Q197" s="8">
        <f>8575.93*24</f>
        <v>205822.32</v>
      </c>
      <c r="R197" s="207"/>
      <c r="S197" s="215"/>
      <c r="T197" s="83">
        <v>8.49</v>
      </c>
      <c r="U197" s="207"/>
      <c r="V197" s="50">
        <f t="shared" si="17"/>
        <v>205948.82298512862</v>
      </c>
      <c r="W197" t="s">
        <v>137</v>
      </c>
    </row>
    <row r="198" spans="1:23" x14ac:dyDescent="0.25">
      <c r="A198" s="211"/>
      <c r="B198" s="46"/>
      <c r="C198" s="46"/>
      <c r="D198" s="46"/>
      <c r="E198" s="56"/>
      <c r="F198" s="57"/>
      <c r="G198" s="57"/>
      <c r="H198" s="57"/>
      <c r="I198" s="46"/>
      <c r="J198" s="213"/>
      <c r="K198" s="30"/>
      <c r="L198" s="208"/>
      <c r="M198" s="9">
        <v>225056.08456466903</v>
      </c>
      <c r="N198" s="79" t="s">
        <v>138</v>
      </c>
      <c r="O198" s="49" t="s">
        <v>139</v>
      </c>
      <c r="P198" s="7">
        <v>1</v>
      </c>
      <c r="Q198" s="8">
        <f>15537.5*15</f>
        <v>233062.5</v>
      </c>
      <c r="R198" s="208"/>
      <c r="S198" s="214"/>
      <c r="T198" s="83">
        <v>8.49</v>
      </c>
      <c r="U198" s="208"/>
      <c r="V198" s="50">
        <f t="shared" si="17"/>
        <v>205948.82298512862</v>
      </c>
      <c r="W198" t="s">
        <v>140</v>
      </c>
    </row>
    <row r="199" spans="1:23" x14ac:dyDescent="0.25">
      <c r="A199" s="53" t="s">
        <v>31</v>
      </c>
      <c r="B199" s="46"/>
      <c r="C199" s="46"/>
      <c r="D199" s="46"/>
      <c r="E199" s="56"/>
      <c r="F199" s="57"/>
      <c r="G199" s="57"/>
      <c r="H199" s="57"/>
      <c r="I199" s="46"/>
      <c r="J199" s="46">
        <v>316953.94925613608</v>
      </c>
      <c r="K199" s="30"/>
      <c r="L199" s="209" t="s">
        <v>45</v>
      </c>
      <c r="M199" s="9">
        <v>379905.02639130456</v>
      </c>
      <c r="N199" s="48" t="s">
        <v>141</v>
      </c>
      <c r="O199" s="49" t="s">
        <v>142</v>
      </c>
      <c r="P199" s="7">
        <v>1</v>
      </c>
      <c r="Q199" s="8">
        <f>43462.95*8</f>
        <v>347703.6</v>
      </c>
      <c r="R199" s="47" t="e">
        <f>J199-#REF!</f>
        <v>#REF!</v>
      </c>
      <c r="S199" s="47">
        <v>0.32</v>
      </c>
      <c r="T199" s="83">
        <v>2.82</v>
      </c>
      <c r="U199" s="47">
        <f>J199-J199*S199/100</f>
        <v>315939.69661851646</v>
      </c>
      <c r="V199" s="50">
        <f t="shared" si="17"/>
        <v>369191.7046470698</v>
      </c>
      <c r="W199" t="s">
        <v>143</v>
      </c>
    </row>
    <row r="200" spans="1:23" x14ac:dyDescent="0.25">
      <c r="A200" s="210" t="s">
        <v>32</v>
      </c>
      <c r="B200" s="46">
        <v>13285.01</v>
      </c>
      <c r="C200" s="46">
        <v>35.24</v>
      </c>
      <c r="D200" s="46">
        <v>0.67</v>
      </c>
      <c r="E200" s="56" t="s">
        <v>173</v>
      </c>
      <c r="F200" s="57" t="s">
        <v>89</v>
      </c>
      <c r="G200" s="57"/>
      <c r="H200" s="57" t="s">
        <v>90</v>
      </c>
      <c r="I200" s="46">
        <f>B200*C200*((1-D200/100)+D200/100*0.8*1.105)</f>
        <v>467799.89553163474</v>
      </c>
      <c r="J200" s="239">
        <f>B200*C200*((1-D200/100)+D200/100*1*1.105)</f>
        <v>468493.10559981345</v>
      </c>
      <c r="K200" s="30">
        <f>B200*C200*((1-D200/100)+D200/100*1.2*1.15*1.21)</f>
        <v>470264.7121450954</v>
      </c>
      <c r="L200" s="208"/>
      <c r="M200" s="9">
        <v>379905.02639130456</v>
      </c>
      <c r="N200" s="48" t="s">
        <v>144</v>
      </c>
      <c r="O200" s="49" t="s">
        <v>145</v>
      </c>
      <c r="P200" s="7">
        <v>1</v>
      </c>
      <c r="Q200" s="8">
        <f>8575.93*48</f>
        <v>411644.64</v>
      </c>
      <c r="R200" s="206" t="e">
        <f>J200-#REF!</f>
        <v>#REF!</v>
      </c>
      <c r="S200" s="206">
        <v>0.67</v>
      </c>
      <c r="T200" s="83">
        <v>2.82</v>
      </c>
      <c r="U200" s="206">
        <f>J200-J200*S200/100</f>
        <v>465354.20179229468</v>
      </c>
      <c r="V200" s="50">
        <f t="shared" si="17"/>
        <v>369191.7046470698</v>
      </c>
      <c r="W200" t="s">
        <v>146</v>
      </c>
    </row>
    <row r="201" spans="1:23" x14ac:dyDescent="0.25">
      <c r="A201" s="211"/>
      <c r="B201" s="46"/>
      <c r="C201" s="46"/>
      <c r="D201" s="46"/>
      <c r="E201" s="56"/>
      <c r="F201" s="57"/>
      <c r="G201" s="57"/>
      <c r="H201" s="57"/>
      <c r="I201" s="46"/>
      <c r="J201" s="239"/>
      <c r="K201" s="30"/>
      <c r="L201" s="52" t="s">
        <v>46</v>
      </c>
      <c r="M201" s="9">
        <v>788510.8188861392</v>
      </c>
      <c r="N201" s="48" t="s">
        <v>149</v>
      </c>
      <c r="O201" s="49" t="s">
        <v>150</v>
      </c>
      <c r="P201" s="7">
        <v>1</v>
      </c>
      <c r="Q201" s="8">
        <f>43462.95*16</f>
        <v>695407.2</v>
      </c>
      <c r="R201" s="208"/>
      <c r="S201" s="214"/>
      <c r="T201" s="83">
        <v>0.23</v>
      </c>
      <c r="U201" s="208"/>
      <c r="V201" s="50">
        <f t="shared" si="17"/>
        <v>786697.24400270113</v>
      </c>
      <c r="W201" t="s">
        <v>151</v>
      </c>
    </row>
    <row r="202" spans="1:23" x14ac:dyDescent="0.25">
      <c r="A202" s="62" t="s">
        <v>32</v>
      </c>
      <c r="B202" s="63"/>
      <c r="C202" s="63"/>
      <c r="D202" s="63"/>
      <c r="E202" s="64"/>
      <c r="F202" s="65"/>
      <c r="G202" s="65"/>
      <c r="H202" s="64"/>
      <c r="I202" s="63"/>
      <c r="J202" s="66">
        <v>468493.10559981345</v>
      </c>
      <c r="K202" s="67"/>
      <c r="L202" s="52" t="s">
        <v>46</v>
      </c>
      <c r="M202" s="50">
        <v>788510.8188861392</v>
      </c>
      <c r="N202" s="7" t="s">
        <v>147</v>
      </c>
      <c r="O202" s="49" t="s">
        <v>148</v>
      </c>
      <c r="P202" s="7">
        <v>1</v>
      </c>
      <c r="Q202" s="51">
        <f>8575.93*7.5+19135.33*45</f>
        <v>925409.32500000007</v>
      </c>
      <c r="R202" s="85"/>
      <c r="S202" s="8">
        <v>0.67</v>
      </c>
      <c r="T202" s="8">
        <v>0.23</v>
      </c>
      <c r="U202" s="8">
        <f>J202-J202*S202/100</f>
        <v>465354.20179229468</v>
      </c>
      <c r="V202" s="50">
        <f t="shared" si="17"/>
        <v>786697.24400270113</v>
      </c>
      <c r="W202" t="s">
        <v>324</v>
      </c>
    </row>
    <row r="203" spans="1:23" ht="15.75" thickBot="1" x14ac:dyDescent="0.3"/>
    <row r="204" spans="1:23" ht="19.5" thickBot="1" x14ac:dyDescent="0.35">
      <c r="A204" s="232" t="s">
        <v>232</v>
      </c>
      <c r="B204" s="233"/>
      <c r="C204" s="233"/>
      <c r="D204" s="233"/>
      <c r="E204" s="233"/>
      <c r="F204" s="233"/>
      <c r="G204" s="233"/>
      <c r="H204" s="233"/>
      <c r="I204" s="233"/>
      <c r="J204" s="233"/>
      <c r="K204" s="234"/>
      <c r="L204" s="40"/>
      <c r="M204" s="40"/>
      <c r="N204" s="41"/>
      <c r="O204" s="42"/>
      <c r="P204" s="42"/>
      <c r="Q204" s="73"/>
      <c r="R204" s="73"/>
    </row>
    <row r="205" spans="1:23" x14ac:dyDescent="0.25">
      <c r="A205" s="235" t="s">
        <v>112</v>
      </c>
      <c r="B205" s="236" t="s">
        <v>10</v>
      </c>
      <c r="C205" s="236" t="s">
        <v>11</v>
      </c>
      <c r="D205" s="236" t="s">
        <v>12</v>
      </c>
      <c r="E205" s="238" t="s">
        <v>13</v>
      </c>
      <c r="F205" s="238"/>
      <c r="G205" s="238"/>
      <c r="H205" s="236" t="s">
        <v>195</v>
      </c>
      <c r="I205" s="182" t="s">
        <v>15</v>
      </c>
      <c r="J205" s="182" t="s">
        <v>114</v>
      </c>
      <c r="K205" s="182" t="s">
        <v>17</v>
      </c>
      <c r="L205" s="188" t="s">
        <v>115</v>
      </c>
      <c r="M205" s="188" t="s">
        <v>116</v>
      </c>
      <c r="N205" s="227" t="s">
        <v>117</v>
      </c>
      <c r="O205" s="229" t="s">
        <v>169</v>
      </c>
      <c r="P205" s="231" t="s">
        <v>119</v>
      </c>
      <c r="Q205" s="218" t="s">
        <v>120</v>
      </c>
      <c r="R205" s="218" t="s">
        <v>121</v>
      </c>
      <c r="S205" s="220" t="s">
        <v>122</v>
      </c>
      <c r="T205" s="219" t="s">
        <v>123</v>
      </c>
      <c r="U205" s="219" t="s">
        <v>170</v>
      </c>
      <c r="V205" s="183" t="s">
        <v>125</v>
      </c>
      <c r="W205" t="s">
        <v>329</v>
      </c>
    </row>
    <row r="206" spans="1:23" ht="75" x14ac:dyDescent="0.25">
      <c r="A206" s="227"/>
      <c r="B206" s="237"/>
      <c r="C206" s="237"/>
      <c r="D206" s="237"/>
      <c r="E206" s="76" t="s">
        <v>51</v>
      </c>
      <c r="F206" s="76" t="s">
        <v>76</v>
      </c>
      <c r="G206" s="76" t="s">
        <v>128</v>
      </c>
      <c r="H206" s="237"/>
      <c r="I206" s="183"/>
      <c r="J206" s="183"/>
      <c r="K206" s="183"/>
      <c r="L206" s="184"/>
      <c r="M206" s="184"/>
      <c r="N206" s="228"/>
      <c r="O206" s="230"/>
      <c r="P206" s="229"/>
      <c r="Q206" s="219"/>
      <c r="R206" s="219"/>
      <c r="S206" s="218"/>
      <c r="T206" s="219"/>
      <c r="U206" s="219"/>
      <c r="V206" s="183"/>
    </row>
    <row r="207" spans="1:23" x14ac:dyDescent="0.25">
      <c r="A207" s="45" t="s">
        <v>21</v>
      </c>
      <c r="B207" s="9">
        <v>23456.22</v>
      </c>
      <c r="C207" s="9">
        <v>4.2300000000000004</v>
      </c>
      <c r="D207" s="9">
        <v>17.54</v>
      </c>
      <c r="E207" s="10">
        <v>1</v>
      </c>
      <c r="F207" s="11" t="s">
        <v>96</v>
      </c>
      <c r="G207" s="11"/>
      <c r="H207" s="10">
        <v>1</v>
      </c>
      <c r="I207" s="9">
        <f>B207*C207*((1-D207/100)+D207/100*0.9*1)</f>
        <v>97479.495122076012</v>
      </c>
      <c r="J207" s="9">
        <f>B207*C207*((1-D207/100)+D207/100*1.15*1)</f>
        <v>101830.28381688602</v>
      </c>
      <c r="K207" s="9">
        <f>B207*C207*((1-D207/100)+D207/100*1*1.15)</f>
        <v>101830.28381688602</v>
      </c>
      <c r="L207" s="46" t="s">
        <v>34</v>
      </c>
      <c r="M207" s="9">
        <v>119513.01854176002</v>
      </c>
      <c r="N207" s="81" t="s">
        <v>129</v>
      </c>
      <c r="O207" s="49" t="s">
        <v>130</v>
      </c>
      <c r="P207" s="7">
        <v>1</v>
      </c>
      <c r="Q207" s="8">
        <f>32947.64*3.75</f>
        <v>123553.65</v>
      </c>
      <c r="R207" s="8" t="e">
        <f>J207-#REF!</f>
        <v>#REF!</v>
      </c>
      <c r="S207" s="8">
        <v>17.54</v>
      </c>
      <c r="T207" s="82">
        <v>5.84</v>
      </c>
      <c r="U207" s="8">
        <f>J207-S207*J207/100</f>
        <v>83969.252035404206</v>
      </c>
      <c r="V207" s="50">
        <f t="shared" ref="V207:V230" si="20">M207-T207*M207/100</f>
        <v>112533.45825892124</v>
      </c>
      <c r="W207" t="s">
        <v>131</v>
      </c>
    </row>
    <row r="208" spans="1:23" x14ac:dyDescent="0.25">
      <c r="A208" s="210" t="s">
        <v>23</v>
      </c>
      <c r="B208" s="9">
        <v>23456.22</v>
      </c>
      <c r="C208" s="9">
        <v>8.49</v>
      </c>
      <c r="D208" s="9">
        <v>7.19</v>
      </c>
      <c r="E208" s="10">
        <v>1</v>
      </c>
      <c r="F208" s="11" t="s">
        <v>96</v>
      </c>
      <c r="G208" s="11"/>
      <c r="H208" s="10">
        <v>1</v>
      </c>
      <c r="I208" s="9">
        <v>197711.47</v>
      </c>
      <c r="J208" s="221">
        <f>B208*C208*((1-D208/100)+D208/100*1.15*1)</f>
        <v>201291.06837462302</v>
      </c>
      <c r="K208" s="9">
        <f t="shared" ref="K208:K214" si="21">B208*C208*((1-D208/100)+D208/100*1*1.15)</f>
        <v>201291.06837462302</v>
      </c>
      <c r="L208" s="212" t="s">
        <v>36</v>
      </c>
      <c r="M208" s="9">
        <v>196896.72577422002</v>
      </c>
      <c r="N208" s="81" t="s">
        <v>132</v>
      </c>
      <c r="O208" s="49" t="s">
        <v>133</v>
      </c>
      <c r="P208" s="7">
        <v>1</v>
      </c>
      <c r="Q208" s="8">
        <f>8545.96*22.5</f>
        <v>192284.09999999998</v>
      </c>
      <c r="R208" s="224" t="e">
        <f>J208-#REF!</f>
        <v>#REF!</v>
      </c>
      <c r="S208" s="224">
        <v>7.19</v>
      </c>
      <c r="T208" s="82">
        <v>3.32</v>
      </c>
      <c r="U208" s="224">
        <f>J208-S208*J208/100</f>
        <v>186818.24055848763</v>
      </c>
      <c r="V208" s="50">
        <f t="shared" si="20"/>
        <v>190359.75447851591</v>
      </c>
      <c r="W208" t="s">
        <v>134</v>
      </c>
    </row>
    <row r="209" spans="1:23" x14ac:dyDescent="0.25">
      <c r="A209" s="216"/>
      <c r="B209" s="9"/>
      <c r="C209" s="9"/>
      <c r="D209" s="9"/>
      <c r="E209" s="10"/>
      <c r="F209" s="11"/>
      <c r="G209" s="11"/>
      <c r="H209" s="10"/>
      <c r="I209" s="9"/>
      <c r="J209" s="222"/>
      <c r="K209" s="9"/>
      <c r="L209" s="213"/>
      <c r="M209" s="9">
        <v>196896.72577422002</v>
      </c>
      <c r="N209" s="81" t="s">
        <v>135</v>
      </c>
      <c r="O209" s="49" t="s">
        <v>136</v>
      </c>
      <c r="P209" s="7">
        <v>1</v>
      </c>
      <c r="Q209" s="8">
        <f>8545.96*24</f>
        <v>205103.03999999998</v>
      </c>
      <c r="R209" s="225"/>
      <c r="S209" s="225"/>
      <c r="T209" s="82">
        <v>3.32</v>
      </c>
      <c r="U209" s="225"/>
      <c r="V209" s="50">
        <f t="shared" si="20"/>
        <v>190359.75447851591</v>
      </c>
      <c r="W209" t="s">
        <v>137</v>
      </c>
    </row>
    <row r="210" spans="1:23" x14ac:dyDescent="0.25">
      <c r="A210" s="211"/>
      <c r="B210" s="9"/>
      <c r="C210" s="9"/>
      <c r="D210" s="9"/>
      <c r="E210" s="10"/>
      <c r="F210" s="11"/>
      <c r="G210" s="11"/>
      <c r="H210" s="10"/>
      <c r="I210" s="9"/>
      <c r="J210" s="223"/>
      <c r="K210" s="9"/>
      <c r="L210" s="52" t="s">
        <v>37</v>
      </c>
      <c r="M210" s="9">
        <v>246239.11533907501</v>
      </c>
      <c r="N210" s="81" t="s">
        <v>138</v>
      </c>
      <c r="O210" s="49" t="s">
        <v>139</v>
      </c>
      <c r="P210" s="7">
        <v>1</v>
      </c>
      <c r="Q210" s="8">
        <f>15537.5*15</f>
        <v>233062.5</v>
      </c>
      <c r="R210" s="226"/>
      <c r="S210" s="226"/>
      <c r="T210" s="82">
        <v>2.15</v>
      </c>
      <c r="U210" s="226"/>
      <c r="V210" s="50">
        <f t="shared" si="20"/>
        <v>240944.97435928491</v>
      </c>
      <c r="W210" t="s">
        <v>140</v>
      </c>
    </row>
    <row r="211" spans="1:23" x14ac:dyDescent="0.25">
      <c r="A211" s="53" t="s">
        <v>24</v>
      </c>
      <c r="B211" s="9"/>
      <c r="C211" s="9"/>
      <c r="D211" s="9"/>
      <c r="E211" s="10"/>
      <c r="F211" s="11"/>
      <c r="G211" s="11"/>
      <c r="H211" s="10"/>
      <c r="I211" s="9"/>
      <c r="J211" s="9">
        <v>314733.96999999997</v>
      </c>
      <c r="K211" s="9"/>
      <c r="L211" s="52" t="s">
        <v>38</v>
      </c>
      <c r="M211" s="9">
        <v>337271.25874365005</v>
      </c>
      <c r="N211" s="54" t="s">
        <v>141</v>
      </c>
      <c r="O211" s="49" t="s">
        <v>142</v>
      </c>
      <c r="P211" s="7">
        <v>1</v>
      </c>
      <c r="Q211" s="8">
        <f>42618.81*8</f>
        <v>340950.48</v>
      </c>
      <c r="R211" s="8" t="e">
        <f>J211-#REF!</f>
        <v>#REF!</v>
      </c>
      <c r="S211" s="8">
        <v>1.89</v>
      </c>
      <c r="T211" s="82">
        <v>1.55</v>
      </c>
      <c r="U211" s="8">
        <f>J211-S211*J211/100</f>
        <v>308785.49796699994</v>
      </c>
      <c r="V211" s="50">
        <f t="shared" si="20"/>
        <v>332043.55423312349</v>
      </c>
      <c r="W211" t="s">
        <v>143</v>
      </c>
    </row>
    <row r="212" spans="1:23" x14ac:dyDescent="0.25">
      <c r="A212" s="53" t="s">
        <v>26</v>
      </c>
      <c r="B212" s="9">
        <v>23456.22</v>
      </c>
      <c r="C212" s="9">
        <v>17.89</v>
      </c>
      <c r="D212" s="9">
        <v>2.44</v>
      </c>
      <c r="E212" s="10">
        <v>1</v>
      </c>
      <c r="F212" s="11" t="s">
        <v>96</v>
      </c>
      <c r="G212" s="11"/>
      <c r="H212" s="10">
        <v>1</v>
      </c>
      <c r="I212" s="9">
        <v>418607.87</v>
      </c>
      <c r="J212" s="9">
        <f>B212*C212*((1-D212/100)+D212/100*1.15*1)</f>
        <v>421167.62809942808</v>
      </c>
      <c r="K212" s="9">
        <f t="shared" si="21"/>
        <v>421167.62809942808</v>
      </c>
      <c r="L212" s="52" t="s">
        <v>39</v>
      </c>
      <c r="M212" s="9">
        <v>418321.81394539995</v>
      </c>
      <c r="N212" s="81" t="s">
        <v>144</v>
      </c>
      <c r="O212" s="49" t="s">
        <v>145</v>
      </c>
      <c r="P212" s="7">
        <v>1</v>
      </c>
      <c r="Q212" s="8">
        <f>8545.96*48</f>
        <v>410206.07999999996</v>
      </c>
      <c r="R212" s="8" t="e">
        <f>J212-#REF!</f>
        <v>#REF!</v>
      </c>
      <c r="S212" s="8">
        <v>2.44</v>
      </c>
      <c r="T212" s="82">
        <v>1.19</v>
      </c>
      <c r="U212" s="8">
        <f>J212-J212*S212/100</f>
        <v>410891.13797380205</v>
      </c>
      <c r="V212" s="50">
        <f t="shared" si="20"/>
        <v>413343.7843594497</v>
      </c>
      <c r="W212" t="s">
        <v>146</v>
      </c>
    </row>
    <row r="213" spans="1:23" x14ac:dyDescent="0.25">
      <c r="A213" s="55" t="s">
        <v>27</v>
      </c>
      <c r="B213" s="9"/>
      <c r="C213" s="9"/>
      <c r="D213" s="9"/>
      <c r="E213" s="10"/>
      <c r="F213" s="11"/>
      <c r="G213" s="11"/>
      <c r="H213" s="10"/>
      <c r="I213" s="9"/>
      <c r="J213" s="9">
        <v>812004.25971592206</v>
      </c>
      <c r="K213" s="30"/>
      <c r="L213" s="52" t="s">
        <v>40</v>
      </c>
      <c r="M213" s="50">
        <v>708913.475826815</v>
      </c>
      <c r="N213" t="s">
        <v>147</v>
      </c>
      <c r="O213" s="49" t="s">
        <v>148</v>
      </c>
      <c r="P213" s="7">
        <v>1</v>
      </c>
      <c r="Q213" s="8">
        <f>8545.96*7.5+19135.33*45</f>
        <v>925184.55</v>
      </c>
      <c r="R213" s="8"/>
      <c r="S213" s="8">
        <v>0.73</v>
      </c>
      <c r="T213" s="8">
        <v>0.69</v>
      </c>
      <c r="U213" s="8">
        <f>J213-J213*S213/100</f>
        <v>806076.62861999578</v>
      </c>
      <c r="V213" s="50">
        <f t="shared" si="20"/>
        <v>704021.97284360998</v>
      </c>
      <c r="W213" t="s">
        <v>324</v>
      </c>
    </row>
    <row r="214" spans="1:23" x14ac:dyDescent="0.25">
      <c r="A214" s="53" t="s">
        <v>27</v>
      </c>
      <c r="B214" s="9">
        <v>23456.22</v>
      </c>
      <c r="C214" s="9">
        <v>34.58</v>
      </c>
      <c r="D214" s="9">
        <v>0.73</v>
      </c>
      <c r="E214" s="10">
        <v>1</v>
      </c>
      <c r="F214" s="11" t="s">
        <v>96</v>
      </c>
      <c r="G214" s="11"/>
      <c r="H214" s="10">
        <v>1</v>
      </c>
      <c r="I214" s="9">
        <v>810523.97</v>
      </c>
      <c r="J214" s="9">
        <f>B214*C214*((1-D214/100)+D214/100*1.15*1)</f>
        <v>812004.25971592206</v>
      </c>
      <c r="K214" s="9">
        <f t="shared" si="21"/>
        <v>812004.25971592206</v>
      </c>
      <c r="L214" s="52" t="s">
        <v>40</v>
      </c>
      <c r="M214" s="9">
        <v>708913.475826815</v>
      </c>
      <c r="N214" s="81" t="s">
        <v>149</v>
      </c>
      <c r="O214" s="49" t="s">
        <v>150</v>
      </c>
      <c r="P214" s="7">
        <v>1</v>
      </c>
      <c r="Q214" s="8">
        <f>42618.81*16</f>
        <v>681900.96</v>
      </c>
      <c r="R214" s="8" t="e">
        <f>J214-#REF!</f>
        <v>#REF!</v>
      </c>
      <c r="S214" s="8">
        <v>0.73</v>
      </c>
      <c r="T214" s="82">
        <v>0.69</v>
      </c>
      <c r="U214" s="8">
        <f>J214-J214*S214/100</f>
        <v>806076.62861999578</v>
      </c>
      <c r="V214" s="50">
        <f t="shared" si="20"/>
        <v>704021.97284360998</v>
      </c>
      <c r="W214" t="s">
        <v>151</v>
      </c>
    </row>
    <row r="215" spans="1:23" x14ac:dyDescent="0.25">
      <c r="A215" s="210" t="s">
        <v>28</v>
      </c>
      <c r="B215" s="46">
        <v>13285.1</v>
      </c>
      <c r="C215" s="46">
        <v>7.73</v>
      </c>
      <c r="D215" s="46">
        <v>3.76</v>
      </c>
      <c r="E215" s="56">
        <v>1</v>
      </c>
      <c r="F215" s="57" t="s">
        <v>97</v>
      </c>
      <c r="G215" s="57"/>
      <c r="H215" s="56">
        <v>1</v>
      </c>
      <c r="I215" s="46">
        <f>B215*C215*((1-D215/100)+D215/100*1*0.9)</f>
        <v>102307.69422552001</v>
      </c>
      <c r="J215" s="212">
        <f>B215*C215*((1-D215/100)+D215/100*1.3*1)</f>
        <v>103852.20932343999</v>
      </c>
      <c r="K215" s="9">
        <f>B215*C215*((1-D215/100)+D215/100*1*1.3)</f>
        <v>103852.20932343999</v>
      </c>
      <c r="L215" s="46" t="s">
        <v>41</v>
      </c>
      <c r="M215" s="9">
        <v>122015.45006977199</v>
      </c>
      <c r="N215" s="81" t="s">
        <v>129</v>
      </c>
      <c r="O215" s="49" t="s">
        <v>130</v>
      </c>
      <c r="P215" s="7">
        <v>1</v>
      </c>
      <c r="Q215" s="8">
        <f>32947.64*3.75</f>
        <v>123553.65</v>
      </c>
      <c r="R215" s="206" t="e">
        <f>J215-#REF!</f>
        <v>#REF!</v>
      </c>
      <c r="S215" s="206">
        <v>3.76</v>
      </c>
      <c r="T215" s="83">
        <v>15.08</v>
      </c>
      <c r="U215" s="206">
        <f>J215-J215*S215/100</f>
        <v>99947.366252878652</v>
      </c>
      <c r="V215" s="50">
        <f t="shared" si="20"/>
        <v>103615.52019925037</v>
      </c>
      <c r="W215" t="s">
        <v>131</v>
      </c>
    </row>
    <row r="216" spans="1:23" x14ac:dyDescent="0.25">
      <c r="A216" s="216"/>
      <c r="B216" s="46"/>
      <c r="C216" s="46"/>
      <c r="D216" s="46"/>
      <c r="E216" s="56"/>
      <c r="F216" s="57"/>
      <c r="G216" s="57"/>
      <c r="H216" s="56"/>
      <c r="I216" s="46"/>
      <c r="J216" s="217"/>
      <c r="K216" s="9"/>
      <c r="L216" s="209" t="s">
        <v>42</v>
      </c>
      <c r="M216" s="9">
        <v>137357.69954140499</v>
      </c>
      <c r="N216" s="81" t="s">
        <v>152</v>
      </c>
      <c r="O216" s="49" t="s">
        <v>153</v>
      </c>
      <c r="P216" s="7">
        <v>30</v>
      </c>
      <c r="Q216" s="8">
        <f>1300.59*120</f>
        <v>156070.79999999999</v>
      </c>
      <c r="R216" s="215"/>
      <c r="S216" s="215"/>
      <c r="T216" s="83">
        <v>14.91</v>
      </c>
      <c r="U216" s="215"/>
      <c r="V216" s="50">
        <f t="shared" si="20"/>
        <v>116877.66653978151</v>
      </c>
      <c r="W216" t="s">
        <v>233</v>
      </c>
    </row>
    <row r="217" spans="1:23" x14ac:dyDescent="0.25">
      <c r="A217" s="216"/>
      <c r="B217" s="46"/>
      <c r="C217" s="46"/>
      <c r="D217" s="46"/>
      <c r="E217" s="56"/>
      <c r="F217" s="57"/>
      <c r="G217" s="57"/>
      <c r="H217" s="56"/>
      <c r="I217" s="46"/>
      <c r="J217" s="217"/>
      <c r="K217" s="9"/>
      <c r="L217" s="207"/>
      <c r="M217" s="9">
        <v>137357.69954140499</v>
      </c>
      <c r="N217" s="81" t="s">
        <v>152</v>
      </c>
      <c r="O217" s="49" t="s">
        <v>153</v>
      </c>
      <c r="P217" s="7">
        <v>30</v>
      </c>
      <c r="Q217" s="8">
        <f>1300.59*60</f>
        <v>78035.399999999994</v>
      </c>
      <c r="R217" s="215"/>
      <c r="S217" s="215"/>
      <c r="T217" s="83">
        <v>14.91</v>
      </c>
      <c r="U217" s="215"/>
      <c r="V217" s="50">
        <f t="shared" si="20"/>
        <v>116877.66653978151</v>
      </c>
      <c r="W217" t="s">
        <v>234</v>
      </c>
    </row>
    <row r="218" spans="1:23" ht="30" x14ac:dyDescent="0.25">
      <c r="A218" s="216"/>
      <c r="B218" s="46"/>
      <c r="C218" s="46"/>
      <c r="D218" s="46"/>
      <c r="E218" s="56"/>
      <c r="F218" s="57"/>
      <c r="G218" s="57"/>
      <c r="H218" s="56"/>
      <c r="I218" s="46"/>
      <c r="J218" s="217"/>
      <c r="K218" s="9"/>
      <c r="L218" s="207"/>
      <c r="M218" s="9">
        <v>137357.69954140499</v>
      </c>
      <c r="N218" s="81" t="s">
        <v>155</v>
      </c>
      <c r="O218" s="49" t="s">
        <v>156</v>
      </c>
      <c r="P218" s="7">
        <v>28</v>
      </c>
      <c r="Q218" s="8">
        <f>1300.59*56+2333.76*10</f>
        <v>96170.64</v>
      </c>
      <c r="R218" s="215"/>
      <c r="S218" s="215"/>
      <c r="T218" s="83">
        <v>14.91</v>
      </c>
      <c r="U218" s="215"/>
      <c r="V218" s="50">
        <f t="shared" si="20"/>
        <v>116877.66653978151</v>
      </c>
      <c r="W218" t="s">
        <v>235</v>
      </c>
    </row>
    <row r="219" spans="1:23" ht="15" customHeight="1" x14ac:dyDescent="0.25">
      <c r="A219" s="211"/>
      <c r="B219" s="46"/>
      <c r="C219" s="46"/>
      <c r="D219" s="46"/>
      <c r="E219" s="56"/>
      <c r="F219" s="57"/>
      <c r="G219" s="57"/>
      <c r="H219" s="56"/>
      <c r="I219" s="46"/>
      <c r="J219" s="213"/>
      <c r="K219" s="9"/>
      <c r="L219" s="207"/>
      <c r="M219" s="9">
        <v>137357.69954140499</v>
      </c>
      <c r="N219" s="81" t="s">
        <v>155</v>
      </c>
      <c r="O219" s="49" t="s">
        <v>156</v>
      </c>
      <c r="P219" s="7">
        <v>28</v>
      </c>
      <c r="Q219" s="8">
        <f>1300.59*56+2333.76*20</f>
        <v>119508.23999999999</v>
      </c>
      <c r="R219" s="214"/>
      <c r="S219" s="214"/>
      <c r="T219" s="83">
        <v>14.91</v>
      </c>
      <c r="U219" s="214"/>
      <c r="V219" s="50">
        <f t="shared" si="20"/>
        <v>116877.66653978151</v>
      </c>
      <c r="W219" t="s">
        <v>236</v>
      </c>
    </row>
    <row r="220" spans="1:23" ht="15" customHeight="1" x14ac:dyDescent="0.25">
      <c r="A220" s="210" t="s">
        <v>29</v>
      </c>
      <c r="B220" s="46"/>
      <c r="C220" s="46"/>
      <c r="D220" s="46"/>
      <c r="E220" s="56"/>
      <c r="F220" s="57"/>
      <c r="G220" s="57"/>
      <c r="H220" s="56"/>
      <c r="I220" s="46"/>
      <c r="J220" s="212">
        <f>B221*C221*((1-D221/100)+D221/100*1.3*1)</f>
        <v>152497.33800750002</v>
      </c>
      <c r="K220" s="9"/>
      <c r="L220" s="207"/>
      <c r="M220" s="9">
        <v>137357.69954140499</v>
      </c>
      <c r="N220" s="81" t="s">
        <v>159</v>
      </c>
      <c r="O220" s="49" t="s">
        <v>160</v>
      </c>
      <c r="P220" s="7">
        <v>21</v>
      </c>
      <c r="Q220" s="8">
        <f>3495.56*21+2333.76*10</f>
        <v>96744.36</v>
      </c>
      <c r="R220" s="59"/>
      <c r="S220" s="59"/>
      <c r="T220" s="83">
        <v>14.91</v>
      </c>
      <c r="U220" s="206">
        <f>J220-J220*S221/100</f>
        <v>142158.01849059152</v>
      </c>
      <c r="V220" s="50">
        <f t="shared" si="20"/>
        <v>116877.66653978151</v>
      </c>
      <c r="W220" t="s">
        <v>237</v>
      </c>
    </row>
    <row r="221" spans="1:23" ht="30" x14ac:dyDescent="0.25">
      <c r="A221" s="216"/>
      <c r="B221" s="46">
        <v>13285.1</v>
      </c>
      <c r="C221" s="46">
        <v>11.25</v>
      </c>
      <c r="D221" s="46">
        <v>6.78</v>
      </c>
      <c r="E221" s="56">
        <v>1</v>
      </c>
      <c r="F221" s="57" t="s">
        <v>97</v>
      </c>
      <c r="G221" s="57"/>
      <c r="H221" s="56">
        <v>1</v>
      </c>
      <c r="I221" s="46">
        <f>B221*C221*((1-D221/100)+D221/100*1*0.9)</f>
        <v>148444.05399749998</v>
      </c>
      <c r="J221" s="217"/>
      <c r="K221" s="9">
        <f>B221*C221*((1-D221/100)+D221/100*1*1.3)</f>
        <v>152497.33800750002</v>
      </c>
      <c r="L221" s="208"/>
      <c r="M221" s="9">
        <v>137357.69954140499</v>
      </c>
      <c r="N221" s="81" t="s">
        <v>159</v>
      </c>
      <c r="O221" s="49" t="s">
        <v>160</v>
      </c>
      <c r="P221" s="7">
        <v>21</v>
      </c>
      <c r="Q221" s="8">
        <f>3495.56*21+2333.76*20</f>
        <v>120081.95999999999</v>
      </c>
      <c r="R221" s="206" t="e">
        <f>J220-#REF!</f>
        <v>#REF!</v>
      </c>
      <c r="S221" s="206">
        <v>6.78</v>
      </c>
      <c r="T221" s="83">
        <v>14.91</v>
      </c>
      <c r="U221" s="215"/>
      <c r="V221" s="50">
        <f t="shared" si="20"/>
        <v>116877.66653978151</v>
      </c>
      <c r="W221" t="s">
        <v>238</v>
      </c>
    </row>
    <row r="222" spans="1:23" ht="30" x14ac:dyDescent="0.25">
      <c r="A222" s="216"/>
      <c r="B222" s="46"/>
      <c r="C222" s="46"/>
      <c r="D222" s="46"/>
      <c r="E222" s="56"/>
      <c r="F222" s="57"/>
      <c r="G222" s="57"/>
      <c r="H222" s="56"/>
      <c r="I222" s="46"/>
      <c r="J222" s="217"/>
      <c r="K222" s="9"/>
      <c r="L222" s="209" t="s">
        <v>43</v>
      </c>
      <c r="M222" s="9">
        <v>190771.33312754999</v>
      </c>
      <c r="N222" s="81" t="s">
        <v>163</v>
      </c>
      <c r="O222" s="49" t="s">
        <v>164</v>
      </c>
      <c r="P222" s="7">
        <v>21</v>
      </c>
      <c r="Q222" s="8">
        <f>2333.76*10+1754.76*63</f>
        <v>133887.48000000001</v>
      </c>
      <c r="R222" s="215"/>
      <c r="S222" s="215"/>
      <c r="T222" s="83">
        <v>9.99</v>
      </c>
      <c r="U222" s="215"/>
      <c r="V222" s="50">
        <f t="shared" si="20"/>
        <v>171713.27694810776</v>
      </c>
      <c r="W222" t="s">
        <v>239</v>
      </c>
    </row>
    <row r="223" spans="1:23" ht="30" x14ac:dyDescent="0.25">
      <c r="A223" s="211"/>
      <c r="B223" s="46"/>
      <c r="C223" s="46"/>
      <c r="D223" s="46"/>
      <c r="E223" s="56"/>
      <c r="F223" s="57"/>
      <c r="G223" s="57"/>
      <c r="H223" s="56"/>
      <c r="I223" s="46"/>
      <c r="J223" s="213"/>
      <c r="K223" s="9"/>
      <c r="L223" s="207"/>
      <c r="M223" s="9">
        <v>190771.33312754999</v>
      </c>
      <c r="N223" s="81" t="s">
        <v>163</v>
      </c>
      <c r="O223" s="49" t="s">
        <v>164</v>
      </c>
      <c r="P223" s="7">
        <v>21</v>
      </c>
      <c r="Q223" s="8">
        <f>2333.76*20+1754.76*63</f>
        <v>157225.08000000002</v>
      </c>
      <c r="R223" s="208"/>
      <c r="S223" s="214"/>
      <c r="T223" s="83">
        <v>9.99</v>
      </c>
      <c r="U223" s="214"/>
      <c r="V223" s="50">
        <f t="shared" si="20"/>
        <v>171713.27694810776</v>
      </c>
      <c r="W223" t="s">
        <v>240</v>
      </c>
    </row>
    <row r="224" spans="1:23" x14ac:dyDescent="0.25">
      <c r="A224" s="210" t="s">
        <v>30</v>
      </c>
      <c r="B224" s="46">
        <v>13285.1</v>
      </c>
      <c r="C224" s="46">
        <v>15.26</v>
      </c>
      <c r="D224" s="46">
        <v>0.43</v>
      </c>
      <c r="E224" s="56">
        <v>1</v>
      </c>
      <c r="F224" s="57" t="s">
        <v>97</v>
      </c>
      <c r="G224" s="57"/>
      <c r="H224" s="56">
        <v>1</v>
      </c>
      <c r="I224" s="46">
        <f>B224*C224*((1-D224/100)+D224/100*1*0.9)</f>
        <v>202643.45183082001</v>
      </c>
      <c r="J224" s="212">
        <f>B224*C224*((1-D224/100)+D224/100*1.3*1)</f>
        <v>202992.14850754</v>
      </c>
      <c r="K224" s="9">
        <f>B224*C224*((1-D224/100)+D224/100*1*1.3)</f>
        <v>202992.14850754</v>
      </c>
      <c r="L224" s="208"/>
      <c r="M224" s="9">
        <v>190771.33312754999</v>
      </c>
      <c r="N224" s="81" t="s">
        <v>132</v>
      </c>
      <c r="O224" s="49" t="s">
        <v>133</v>
      </c>
      <c r="P224" s="7">
        <v>1</v>
      </c>
      <c r="Q224" s="8">
        <f>8545.96*22.5</f>
        <v>192284.09999999998</v>
      </c>
      <c r="R224" s="206" t="e">
        <f>J224-#REF!</f>
        <v>#REF!</v>
      </c>
      <c r="S224" s="206">
        <v>0.43</v>
      </c>
      <c r="T224" s="83">
        <v>9.99</v>
      </c>
      <c r="U224" s="206">
        <f>J224-J224*S224/100</f>
        <v>202119.28226895758</v>
      </c>
      <c r="V224" s="50">
        <f t="shared" si="20"/>
        <v>171713.27694810776</v>
      </c>
      <c r="W224" t="s">
        <v>134</v>
      </c>
    </row>
    <row r="225" spans="1:23" x14ac:dyDescent="0.25">
      <c r="A225" s="216"/>
      <c r="B225" s="46"/>
      <c r="C225" s="46"/>
      <c r="D225" s="46"/>
      <c r="E225" s="56"/>
      <c r="F225" s="57"/>
      <c r="G225" s="57"/>
      <c r="H225" s="56"/>
      <c r="I225" s="46"/>
      <c r="J225" s="217"/>
      <c r="K225" s="9"/>
      <c r="L225" s="209" t="s">
        <v>44</v>
      </c>
      <c r="M225" s="9">
        <v>226021.14142248899</v>
      </c>
      <c r="N225" s="81" t="s">
        <v>135</v>
      </c>
      <c r="O225" s="49" t="s">
        <v>136</v>
      </c>
      <c r="P225" s="7">
        <v>1</v>
      </c>
      <c r="Q225" s="8">
        <f>8545.96*24</f>
        <v>205103.03999999998</v>
      </c>
      <c r="R225" s="207"/>
      <c r="S225" s="215"/>
      <c r="T225" s="83">
        <v>8.49</v>
      </c>
      <c r="U225" s="207"/>
      <c r="V225" s="50">
        <f t="shared" si="20"/>
        <v>206831.94651571967</v>
      </c>
      <c r="W225" t="s">
        <v>137</v>
      </c>
    </row>
    <row r="226" spans="1:23" x14ac:dyDescent="0.25">
      <c r="A226" s="211"/>
      <c r="B226" s="46"/>
      <c r="C226" s="46"/>
      <c r="D226" s="46"/>
      <c r="E226" s="56"/>
      <c r="F226" s="57"/>
      <c r="G226" s="57"/>
      <c r="H226" s="56"/>
      <c r="I226" s="46"/>
      <c r="J226" s="213"/>
      <c r="K226" s="9"/>
      <c r="L226" s="208"/>
      <c r="M226" s="9">
        <v>226021.14142248899</v>
      </c>
      <c r="N226" s="61" t="s">
        <v>138</v>
      </c>
      <c r="O226" s="49" t="s">
        <v>139</v>
      </c>
      <c r="P226" s="7">
        <v>1</v>
      </c>
      <c r="Q226" s="8">
        <f>15537.5*15</f>
        <v>233062.5</v>
      </c>
      <c r="R226" s="208"/>
      <c r="S226" s="214"/>
      <c r="T226" s="83">
        <v>8.49</v>
      </c>
      <c r="U226" s="208"/>
      <c r="V226" s="50">
        <f t="shared" si="20"/>
        <v>206831.94651571967</v>
      </c>
      <c r="W226" t="s">
        <v>140</v>
      </c>
    </row>
    <row r="227" spans="1:23" x14ac:dyDescent="0.25">
      <c r="A227" s="53" t="s">
        <v>31</v>
      </c>
      <c r="B227" s="9"/>
      <c r="C227" s="9"/>
      <c r="D227" s="9"/>
      <c r="E227" s="10"/>
      <c r="F227" s="11"/>
      <c r="G227" s="11"/>
      <c r="H227" s="10"/>
      <c r="I227" s="9"/>
      <c r="J227" s="9">
        <v>317153.81</v>
      </c>
      <c r="K227" s="9"/>
      <c r="L227" s="209" t="s">
        <v>45</v>
      </c>
      <c r="M227" s="9">
        <v>380575.68181474798</v>
      </c>
      <c r="N227" s="81" t="s">
        <v>141</v>
      </c>
      <c r="O227" s="49" t="s">
        <v>142</v>
      </c>
      <c r="P227" s="7">
        <v>1</v>
      </c>
      <c r="Q227" s="8">
        <f>42618.81*8</f>
        <v>340950.48</v>
      </c>
      <c r="R227" s="47" t="e">
        <f>J227-#REF!</f>
        <v>#REF!</v>
      </c>
      <c r="S227" s="47">
        <v>0.32</v>
      </c>
      <c r="T227" s="83">
        <v>2.82</v>
      </c>
      <c r="U227" s="47">
        <f>J227-J227*S227/100</f>
        <v>316138.917808</v>
      </c>
      <c r="V227" s="50">
        <f t="shared" si="20"/>
        <v>369843.4475875721</v>
      </c>
      <c r="W227" t="s">
        <v>143</v>
      </c>
    </row>
    <row r="228" spans="1:23" x14ac:dyDescent="0.25">
      <c r="A228" s="210" t="s">
        <v>32</v>
      </c>
      <c r="B228" s="46">
        <v>13285.1</v>
      </c>
      <c r="C228" s="46">
        <v>35.24</v>
      </c>
      <c r="D228" s="46">
        <v>0.67</v>
      </c>
      <c r="E228" s="56">
        <v>1</v>
      </c>
      <c r="F228" s="57" t="s">
        <v>97</v>
      </c>
      <c r="G228" s="57"/>
      <c r="H228" s="56">
        <v>1</v>
      </c>
      <c r="I228" s="46">
        <f>B228*C228*((1-D228/100)+D228/100*1*0.9)</f>
        <v>467853.25216092</v>
      </c>
      <c r="J228" s="221">
        <f>B228*C228*((1-D228/100)+D228/100*1.3*1)</f>
        <v>469107.9395172401</v>
      </c>
      <c r="K228" s="9">
        <f>B228*C228*((1-D228/100)+D228/100*1*1.3)</f>
        <v>469107.9395172401</v>
      </c>
      <c r="L228" s="208"/>
      <c r="M228" s="9">
        <v>380575.68181474798</v>
      </c>
      <c r="N228" s="81" t="s">
        <v>144</v>
      </c>
      <c r="O228" s="49" t="s">
        <v>145</v>
      </c>
      <c r="P228" s="7">
        <v>1</v>
      </c>
      <c r="Q228" s="8">
        <f>8545.96*48</f>
        <v>410206.07999999996</v>
      </c>
      <c r="R228" s="206" t="e">
        <f>J228-#REF!</f>
        <v>#REF!</v>
      </c>
      <c r="S228" s="206">
        <v>0.67</v>
      </c>
      <c r="T228" s="83">
        <v>2.82</v>
      </c>
      <c r="U228" s="206">
        <f>J228-J228*S228/100</f>
        <v>465964.9163224746</v>
      </c>
      <c r="V228" s="50">
        <f t="shared" si="20"/>
        <v>369843.4475875721</v>
      </c>
      <c r="W228" t="s">
        <v>146</v>
      </c>
    </row>
    <row r="229" spans="1:23" x14ac:dyDescent="0.25">
      <c r="A229" s="211"/>
      <c r="B229" s="46"/>
      <c r="C229" s="46"/>
      <c r="D229" s="46"/>
      <c r="E229" s="56"/>
      <c r="F229" s="57"/>
      <c r="G229" s="57"/>
      <c r="H229" s="56"/>
      <c r="I229" s="46"/>
      <c r="J229" s="223"/>
      <c r="K229" s="9"/>
      <c r="L229" s="52" t="s">
        <v>46</v>
      </c>
      <c r="M229" s="9">
        <v>788986.26338416501</v>
      </c>
      <c r="N229" s="81" t="s">
        <v>149</v>
      </c>
      <c r="O229" s="49" t="s">
        <v>150</v>
      </c>
      <c r="P229" s="7">
        <v>1</v>
      </c>
      <c r="Q229" s="8">
        <f>42618.81*16</f>
        <v>681900.96</v>
      </c>
      <c r="R229" s="208"/>
      <c r="S229" s="214"/>
      <c r="T229" s="83">
        <v>0.23</v>
      </c>
      <c r="U229" s="208"/>
      <c r="V229" s="50">
        <f t="shared" si="20"/>
        <v>787171.59497838141</v>
      </c>
      <c r="W229" t="s">
        <v>151</v>
      </c>
    </row>
    <row r="230" spans="1:23" x14ac:dyDescent="0.25">
      <c r="A230" s="62" t="s">
        <v>32</v>
      </c>
      <c r="B230" s="63"/>
      <c r="C230" s="63"/>
      <c r="D230" s="63"/>
      <c r="E230" s="64"/>
      <c r="F230" s="65"/>
      <c r="G230" s="65"/>
      <c r="H230" s="64"/>
      <c r="I230" s="63"/>
      <c r="J230" s="66">
        <v>469107.94</v>
      </c>
      <c r="K230" s="67"/>
      <c r="L230" s="52" t="s">
        <v>46</v>
      </c>
      <c r="M230" s="9">
        <v>788986.26338416501</v>
      </c>
      <c r="N230" s="7" t="s">
        <v>147</v>
      </c>
      <c r="O230" s="49" t="s">
        <v>148</v>
      </c>
      <c r="P230" s="7">
        <v>1</v>
      </c>
      <c r="Q230" s="51">
        <f>8545.96*7.5+19135.33*45</f>
        <v>925184.55</v>
      </c>
      <c r="R230" s="85"/>
      <c r="S230" s="8">
        <v>0.67</v>
      </c>
      <c r="T230" s="8">
        <v>0.23</v>
      </c>
      <c r="U230" s="8">
        <f>J230-J230*S230/100</f>
        <v>465964.91680200002</v>
      </c>
      <c r="V230" s="50">
        <f t="shared" si="20"/>
        <v>787171.59497838141</v>
      </c>
      <c r="W230" t="s">
        <v>324</v>
      </c>
    </row>
    <row r="231" spans="1:23" ht="15.75" thickBot="1" x14ac:dyDescent="0.3"/>
    <row r="232" spans="1:23" ht="19.5" thickBot="1" x14ac:dyDescent="0.35">
      <c r="A232" s="232" t="s">
        <v>241</v>
      </c>
      <c r="B232" s="233"/>
      <c r="C232" s="233"/>
      <c r="D232" s="233"/>
      <c r="E232" s="233"/>
      <c r="F232" s="233"/>
      <c r="G232" s="233"/>
      <c r="H232" s="233"/>
      <c r="I232" s="233"/>
      <c r="J232" s="233"/>
      <c r="K232" s="234"/>
      <c r="L232" s="40"/>
      <c r="M232" s="40"/>
      <c r="N232" s="41"/>
      <c r="O232" s="42"/>
      <c r="P232" s="42"/>
      <c r="Q232" s="73"/>
      <c r="R232" s="73"/>
    </row>
    <row r="233" spans="1:23" x14ac:dyDescent="0.25">
      <c r="A233" s="235" t="s">
        <v>112</v>
      </c>
      <c r="B233" s="236" t="s">
        <v>10</v>
      </c>
      <c r="C233" s="236" t="s">
        <v>11</v>
      </c>
      <c r="D233" s="236" t="s">
        <v>12</v>
      </c>
      <c r="E233" s="238" t="s">
        <v>13</v>
      </c>
      <c r="F233" s="238"/>
      <c r="G233" s="238"/>
      <c r="H233" s="236" t="s">
        <v>195</v>
      </c>
      <c r="I233" s="182" t="s">
        <v>15</v>
      </c>
      <c r="J233" s="182" t="s">
        <v>114</v>
      </c>
      <c r="K233" s="182" t="s">
        <v>17</v>
      </c>
      <c r="L233" s="188" t="s">
        <v>115</v>
      </c>
      <c r="M233" s="188" t="s">
        <v>116</v>
      </c>
      <c r="N233" s="227" t="s">
        <v>117</v>
      </c>
      <c r="O233" s="229" t="s">
        <v>169</v>
      </c>
      <c r="P233" s="231" t="s">
        <v>119</v>
      </c>
      <c r="Q233" s="218" t="s">
        <v>120</v>
      </c>
      <c r="R233" s="218" t="s">
        <v>121</v>
      </c>
      <c r="S233" s="220" t="s">
        <v>122</v>
      </c>
      <c r="T233" s="219" t="s">
        <v>123</v>
      </c>
      <c r="U233" s="219" t="s">
        <v>170</v>
      </c>
      <c r="V233" s="183" t="s">
        <v>125</v>
      </c>
      <c r="W233" t="s">
        <v>329</v>
      </c>
    </row>
    <row r="234" spans="1:23" ht="75" x14ac:dyDescent="0.25">
      <c r="A234" s="227"/>
      <c r="B234" s="237"/>
      <c r="C234" s="237"/>
      <c r="D234" s="237"/>
      <c r="E234" s="76" t="s">
        <v>51</v>
      </c>
      <c r="F234" s="76" t="s">
        <v>76</v>
      </c>
      <c r="G234" s="76" t="s">
        <v>128</v>
      </c>
      <c r="H234" s="237"/>
      <c r="I234" s="183"/>
      <c r="J234" s="183"/>
      <c r="K234" s="183"/>
      <c r="L234" s="182"/>
      <c r="M234" s="184"/>
      <c r="N234" s="228"/>
      <c r="O234" s="230"/>
      <c r="P234" s="229"/>
      <c r="Q234" s="219"/>
      <c r="R234" s="219"/>
      <c r="S234" s="218"/>
      <c r="T234" s="219"/>
      <c r="U234" s="219"/>
      <c r="V234" s="183"/>
    </row>
    <row r="235" spans="1:23" x14ac:dyDescent="0.25">
      <c r="A235" s="45" t="s">
        <v>21</v>
      </c>
      <c r="B235" s="9">
        <v>23456.240000000002</v>
      </c>
      <c r="C235" s="9">
        <v>4.2300000000000004</v>
      </c>
      <c r="D235" s="9">
        <v>17.54</v>
      </c>
      <c r="E235" s="10">
        <v>1</v>
      </c>
      <c r="F235" s="11" t="s">
        <v>106</v>
      </c>
      <c r="G235" s="11"/>
      <c r="H235" s="10">
        <v>1</v>
      </c>
      <c r="I235" s="9">
        <f>B235*C235*((1-D235/100)+D235/100*0.9*1)</f>
        <v>97479.578238192014</v>
      </c>
      <c r="J235" s="9">
        <f>B235*C235*((1-D235/100)+D235/100*1.12*1)</f>
        <v>101308.27555416961</v>
      </c>
      <c r="K235" s="9">
        <f>B235*C235*((1-D235/100)+D235/100*1*1.12)</f>
        <v>101308.27555416961</v>
      </c>
      <c r="L235" s="46" t="s">
        <v>34</v>
      </c>
      <c r="M235" s="9">
        <v>119195.86339481598</v>
      </c>
      <c r="N235" s="81" t="s">
        <v>129</v>
      </c>
      <c r="O235" s="49" t="s">
        <v>130</v>
      </c>
      <c r="P235" s="7">
        <v>1</v>
      </c>
      <c r="Q235" s="8">
        <f>37274.13*3.75</f>
        <v>139777.98749999999</v>
      </c>
      <c r="R235" s="8" t="e">
        <f>J235-#REF!</f>
        <v>#REF!</v>
      </c>
      <c r="S235" s="8">
        <v>17.54</v>
      </c>
      <c r="T235" s="8">
        <v>5.84</v>
      </c>
      <c r="U235" s="8">
        <f>J235-S235*J235/100</f>
        <v>83538.804021968259</v>
      </c>
      <c r="V235" s="50">
        <f t="shared" ref="V235:V257" si="22">M235-T235*M235/100</f>
        <v>112234.82497255874</v>
      </c>
      <c r="W235" t="s">
        <v>131</v>
      </c>
    </row>
    <row r="236" spans="1:23" x14ac:dyDescent="0.25">
      <c r="A236" s="210" t="s">
        <v>23</v>
      </c>
      <c r="B236" s="9">
        <v>23456.240000000002</v>
      </c>
      <c r="C236" s="9">
        <v>8.49</v>
      </c>
      <c r="D236" s="9">
        <v>7.19</v>
      </c>
      <c r="E236" s="10">
        <v>1</v>
      </c>
      <c r="F236" s="11" t="s">
        <v>106</v>
      </c>
      <c r="G236" s="11"/>
      <c r="H236" s="10">
        <v>1</v>
      </c>
      <c r="I236" s="9">
        <f t="shared" ref="I236:I242" si="23">B236*C236*((1-D236/100)+D236/100*0.9*1)</f>
        <v>197711.63599605602</v>
      </c>
      <c r="J236" s="221">
        <f>B236*C236*((1-D236/100)+D236/100*1.12*1)</f>
        <v>200861.68752473284</v>
      </c>
      <c r="K236" s="9">
        <f t="shared" ref="K236:K242" si="24">B236*C236*((1-D236/100)+D236/100*1*1.12)</f>
        <v>200861.68752473284</v>
      </c>
      <c r="L236" s="212" t="s">
        <v>36</v>
      </c>
      <c r="M236" s="9">
        <v>196520.91045475201</v>
      </c>
      <c r="N236" s="81" t="s">
        <v>132</v>
      </c>
      <c r="O236" s="49" t="s">
        <v>133</v>
      </c>
      <c r="P236" s="7">
        <v>1</v>
      </c>
      <c r="Q236" s="8">
        <f>8598.61*22.5</f>
        <v>193468.72500000001</v>
      </c>
      <c r="R236" s="224" t="e">
        <f>J236-#REF!</f>
        <v>#REF!</v>
      </c>
      <c r="S236" s="224">
        <v>7.19</v>
      </c>
      <c r="T236" s="8">
        <v>3.32</v>
      </c>
      <c r="U236" s="224">
        <f>J236-S236*J236/100</f>
        <v>186419.73219170456</v>
      </c>
      <c r="V236" s="50">
        <f t="shared" si="22"/>
        <v>189996.41622765423</v>
      </c>
      <c r="W236" t="s">
        <v>134</v>
      </c>
    </row>
    <row r="237" spans="1:23" x14ac:dyDescent="0.25">
      <c r="A237" s="216"/>
      <c r="B237" s="9"/>
      <c r="C237" s="9"/>
      <c r="D237" s="9"/>
      <c r="E237" s="10"/>
      <c r="F237" s="11"/>
      <c r="G237" s="11"/>
      <c r="H237" s="10"/>
      <c r="I237" s="9"/>
      <c r="J237" s="222"/>
      <c r="K237" s="9"/>
      <c r="L237" s="213"/>
      <c r="M237" s="9">
        <v>196520.91045475201</v>
      </c>
      <c r="N237" s="81" t="s">
        <v>135</v>
      </c>
      <c r="O237" s="49" t="s">
        <v>136</v>
      </c>
      <c r="P237" s="7">
        <v>1</v>
      </c>
      <c r="Q237" s="8">
        <f>8598.61*24</f>
        <v>206366.64</v>
      </c>
      <c r="R237" s="225"/>
      <c r="S237" s="225"/>
      <c r="T237" s="8">
        <v>3.32</v>
      </c>
      <c r="U237" s="225"/>
      <c r="V237" s="50">
        <f t="shared" si="22"/>
        <v>189996.41622765423</v>
      </c>
      <c r="W237" t="s">
        <v>137</v>
      </c>
    </row>
    <row r="238" spans="1:23" x14ac:dyDescent="0.25">
      <c r="A238" s="211"/>
      <c r="B238" s="9"/>
      <c r="C238" s="9"/>
      <c r="D238" s="9"/>
      <c r="E238" s="10"/>
      <c r="F238" s="11"/>
      <c r="G238" s="11"/>
      <c r="H238" s="10"/>
      <c r="I238" s="9"/>
      <c r="J238" s="223"/>
      <c r="K238" s="9"/>
      <c r="L238" s="52" t="s">
        <v>37</v>
      </c>
      <c r="M238" s="9">
        <v>245854.76700252001</v>
      </c>
      <c r="N238" s="81" t="s">
        <v>138</v>
      </c>
      <c r="O238" s="49" t="s">
        <v>139</v>
      </c>
      <c r="P238" s="7">
        <v>1</v>
      </c>
      <c r="Q238" s="8">
        <f>15537.5*15</f>
        <v>233062.5</v>
      </c>
      <c r="R238" s="226"/>
      <c r="S238" s="226"/>
      <c r="T238" s="8">
        <v>2.15</v>
      </c>
      <c r="U238" s="226"/>
      <c r="V238" s="50">
        <f t="shared" si="22"/>
        <v>240568.88951196583</v>
      </c>
      <c r="W238" t="s">
        <v>140</v>
      </c>
    </row>
    <row r="239" spans="1:23" x14ac:dyDescent="0.25">
      <c r="A239" s="53" t="s">
        <v>24</v>
      </c>
      <c r="B239" s="9"/>
      <c r="C239" s="9"/>
      <c r="D239" s="9"/>
      <c r="E239" s="10"/>
      <c r="F239" s="11"/>
      <c r="G239" s="11"/>
      <c r="H239" s="10"/>
      <c r="I239" s="9"/>
      <c r="J239" s="9">
        <v>314556.28999999998</v>
      </c>
      <c r="K239" s="9"/>
      <c r="L239" s="52" t="s">
        <v>38</v>
      </c>
      <c r="M239" s="9">
        <v>336805.13850983995</v>
      </c>
      <c r="N239" s="54" t="s">
        <v>141</v>
      </c>
      <c r="O239" s="49" t="s">
        <v>142</v>
      </c>
      <c r="P239" s="7">
        <v>1</v>
      </c>
      <c r="Q239" s="8">
        <f>41905.55*8</f>
        <v>335244.40000000002</v>
      </c>
      <c r="R239" s="8" t="e">
        <f>J239-#REF!</f>
        <v>#REF!</v>
      </c>
      <c r="S239" s="8">
        <v>1.89</v>
      </c>
      <c r="T239" s="8">
        <v>1.55</v>
      </c>
      <c r="U239" s="8">
        <f>J239-S239*J239/100</f>
        <v>308611.17611899995</v>
      </c>
      <c r="V239" s="50">
        <f t="shared" si="22"/>
        <v>331584.65886293742</v>
      </c>
      <c r="W239" t="s">
        <v>143</v>
      </c>
    </row>
    <row r="240" spans="1:23" x14ac:dyDescent="0.25">
      <c r="A240" s="53" t="s">
        <v>26</v>
      </c>
      <c r="B240" s="9">
        <v>23456.240000000002</v>
      </c>
      <c r="C240" s="9">
        <v>17.89</v>
      </c>
      <c r="D240" s="9">
        <v>2.44</v>
      </c>
      <c r="E240" s="10">
        <v>1</v>
      </c>
      <c r="F240" s="11" t="s">
        <v>106</v>
      </c>
      <c r="G240" s="11"/>
      <c r="H240" s="10">
        <v>1</v>
      </c>
      <c r="I240" s="9">
        <f t="shared" si="23"/>
        <v>418608.23119401606</v>
      </c>
      <c r="J240" s="9">
        <f>B240*C240*((1-D240/100)+D240/100*1.12*1)</f>
        <v>420860.81648718088</v>
      </c>
      <c r="K240" s="9">
        <f t="shared" si="24"/>
        <v>420860.81648718088</v>
      </c>
      <c r="L240" s="52" t="s">
        <v>39</v>
      </c>
      <c r="M240" s="9">
        <v>417788.63143264002</v>
      </c>
      <c r="N240" s="81" t="s">
        <v>144</v>
      </c>
      <c r="O240" s="49" t="s">
        <v>145</v>
      </c>
      <c r="P240" s="7">
        <v>1</v>
      </c>
      <c r="Q240" s="8">
        <f>8598.61*48</f>
        <v>412733.28</v>
      </c>
      <c r="R240" s="8" t="e">
        <f>J240-#REF!</f>
        <v>#REF!</v>
      </c>
      <c r="S240" s="8">
        <v>2.44</v>
      </c>
      <c r="T240" s="8">
        <v>1.19</v>
      </c>
      <c r="U240" s="8">
        <f>J240-J240*S240/100</f>
        <v>410591.81256489368</v>
      </c>
      <c r="V240" s="50">
        <f t="shared" si="22"/>
        <v>412816.94671859161</v>
      </c>
      <c r="W240" t="s">
        <v>146</v>
      </c>
    </row>
    <row r="241" spans="1:23" x14ac:dyDescent="0.25">
      <c r="A241" s="55" t="s">
        <v>27</v>
      </c>
      <c r="B241" s="9"/>
      <c r="C241" s="9"/>
      <c r="D241" s="9"/>
      <c r="E241" s="10"/>
      <c r="F241" s="11"/>
      <c r="G241" s="11"/>
      <c r="H241" s="10"/>
      <c r="I241" s="9"/>
      <c r="J241" s="9">
        <v>811827.31749857927</v>
      </c>
      <c r="K241" s="30"/>
      <c r="L241" s="52" t="s">
        <v>40</v>
      </c>
      <c r="M241" s="50">
        <v>708115.85285490402</v>
      </c>
      <c r="N241" t="s">
        <v>147</v>
      </c>
      <c r="O241" s="49" t="s">
        <v>148</v>
      </c>
      <c r="P241" s="7">
        <v>1</v>
      </c>
      <c r="Q241" s="8">
        <f>8598.61*7.5+21048.8*45</f>
        <v>1011685.575</v>
      </c>
      <c r="R241" s="8"/>
      <c r="S241" s="8">
        <v>0.73</v>
      </c>
      <c r="T241" s="8">
        <v>0.69</v>
      </c>
      <c r="U241" s="8">
        <f>J241-J241*S241/100</f>
        <v>805900.97808083962</v>
      </c>
      <c r="V241" s="50">
        <f t="shared" si="22"/>
        <v>703229.85347020521</v>
      </c>
      <c r="W241" t="s">
        <v>324</v>
      </c>
    </row>
    <row r="242" spans="1:23" x14ac:dyDescent="0.25">
      <c r="A242" s="53" t="s">
        <v>27</v>
      </c>
      <c r="B242" s="9">
        <v>23456.240000000002</v>
      </c>
      <c r="C242" s="9">
        <v>34.58</v>
      </c>
      <c r="D242" s="9">
        <v>0.73</v>
      </c>
      <c r="E242" s="10">
        <v>1</v>
      </c>
      <c r="F242" s="11" t="s">
        <v>106</v>
      </c>
      <c r="G242" s="11"/>
      <c r="H242" s="10">
        <v>1</v>
      </c>
      <c r="I242" s="9">
        <f t="shared" si="23"/>
        <v>810524.66395118402</v>
      </c>
      <c r="J242" s="9">
        <f>B242*C242*((1-D242/100)+D242/100*1.12*1)</f>
        <v>811827.31749857927</v>
      </c>
      <c r="K242" s="9">
        <f t="shared" si="24"/>
        <v>811827.31749857927</v>
      </c>
      <c r="L242" s="52" t="s">
        <v>40</v>
      </c>
      <c r="M242" s="9">
        <v>708115.85285490402</v>
      </c>
      <c r="N242" s="81" t="s">
        <v>149</v>
      </c>
      <c r="O242" s="49" t="s">
        <v>150</v>
      </c>
      <c r="P242" s="7">
        <v>1</v>
      </c>
      <c r="Q242" s="8">
        <f>41905.55*16</f>
        <v>670488.80000000005</v>
      </c>
      <c r="R242" s="8" t="e">
        <f>J242-#REF!</f>
        <v>#REF!</v>
      </c>
      <c r="S242" s="8">
        <v>0.73</v>
      </c>
      <c r="T242" s="8">
        <v>0.69</v>
      </c>
      <c r="U242" s="8">
        <f>J242-J242*S242/100</f>
        <v>805900.97808083962</v>
      </c>
      <c r="V242" s="50">
        <f t="shared" si="22"/>
        <v>703229.85347020521</v>
      </c>
      <c r="W242" t="s">
        <v>151</v>
      </c>
    </row>
    <row r="243" spans="1:23" ht="15.75" customHeight="1" x14ac:dyDescent="0.25">
      <c r="A243" s="210" t="s">
        <v>28</v>
      </c>
      <c r="B243" s="9">
        <v>13468.02</v>
      </c>
      <c r="C243" s="9">
        <v>7.73</v>
      </c>
      <c r="D243" s="9">
        <v>3.76</v>
      </c>
      <c r="E243" s="10">
        <v>1</v>
      </c>
      <c r="F243" s="10">
        <v>1</v>
      </c>
      <c r="G243" s="11"/>
      <c r="H243" s="10">
        <v>1</v>
      </c>
      <c r="I243" s="9">
        <f>B243*C243*((1-D243/100)+D243/100*1*1)</f>
        <v>104107.79460000001</v>
      </c>
      <c r="J243" s="212">
        <f>B243*C243*((1-D243/100)+D243/100*1*1)</f>
        <v>104107.79460000001</v>
      </c>
      <c r="K243" s="9">
        <f>B243*C243*((1-D243/100)+D243/100*1*1)</f>
        <v>104107.79460000001</v>
      </c>
      <c r="L243" s="46" t="s">
        <v>41</v>
      </c>
      <c r="M243" s="9">
        <v>119256.86340000002</v>
      </c>
      <c r="N243" s="81" t="s">
        <v>129</v>
      </c>
      <c r="O243" s="49" t="s">
        <v>130</v>
      </c>
      <c r="P243" s="7">
        <v>1</v>
      </c>
      <c r="Q243" s="8">
        <f>37274.13*3.75</f>
        <v>139777.98749999999</v>
      </c>
      <c r="R243" s="206" t="e">
        <f>J243-#REF!</f>
        <v>#REF!</v>
      </c>
      <c r="S243" s="206">
        <v>3.76</v>
      </c>
      <c r="T243" s="47">
        <v>15.08</v>
      </c>
      <c r="U243" s="206">
        <f>J243-J243*S243/100</f>
        <v>100193.34152304001</v>
      </c>
      <c r="V243" s="50">
        <f t="shared" si="22"/>
        <v>101272.92839928</v>
      </c>
      <c r="W243" t="s">
        <v>131</v>
      </c>
    </row>
    <row r="244" spans="1:23" x14ac:dyDescent="0.25">
      <c r="A244" s="216"/>
      <c r="B244" s="9"/>
      <c r="C244" s="9"/>
      <c r="D244" s="9"/>
      <c r="E244" s="10"/>
      <c r="F244" s="10"/>
      <c r="G244" s="11"/>
      <c r="H244" s="10"/>
      <c r="I244" s="9"/>
      <c r="J244" s="217"/>
      <c r="K244" s="9"/>
      <c r="L244" s="209" t="s">
        <v>42</v>
      </c>
      <c r="M244" s="9">
        <v>134285.73300000001</v>
      </c>
      <c r="N244" s="81" t="s">
        <v>152</v>
      </c>
      <c r="O244" s="49" t="s">
        <v>153</v>
      </c>
      <c r="P244" s="7">
        <v>30</v>
      </c>
      <c r="Q244" s="8">
        <f>1585.91*60</f>
        <v>95154.6</v>
      </c>
      <c r="R244" s="215"/>
      <c r="S244" s="215"/>
      <c r="T244" s="47">
        <v>14.91</v>
      </c>
      <c r="U244" s="215"/>
      <c r="V244" s="50">
        <f t="shared" si="22"/>
        <v>114263.73020970001</v>
      </c>
      <c r="W244" t="s">
        <v>242</v>
      </c>
    </row>
    <row r="245" spans="1:23" ht="30" x14ac:dyDescent="0.25">
      <c r="A245" s="216"/>
      <c r="B245" s="9"/>
      <c r="C245" s="9"/>
      <c r="D245" s="9"/>
      <c r="E245" s="10"/>
      <c r="F245" s="10"/>
      <c r="G245" s="11"/>
      <c r="H245" s="10"/>
      <c r="I245" s="9"/>
      <c r="J245" s="217"/>
      <c r="K245" s="9"/>
      <c r="L245" s="207"/>
      <c r="M245" s="9">
        <v>134285.73300000001</v>
      </c>
      <c r="N245" s="81" t="s">
        <v>155</v>
      </c>
      <c r="O245" s="49" t="s">
        <v>156</v>
      </c>
      <c r="P245" s="7">
        <v>28</v>
      </c>
      <c r="Q245" s="8">
        <f>1585.91*56+3287.46*10</f>
        <v>121685.56</v>
      </c>
      <c r="R245" s="215"/>
      <c r="S245" s="215"/>
      <c r="T245" s="47">
        <v>14.91</v>
      </c>
      <c r="U245" s="215"/>
      <c r="V245" s="50">
        <f t="shared" si="22"/>
        <v>114263.73020970001</v>
      </c>
      <c r="W245" t="s">
        <v>243</v>
      </c>
    </row>
    <row r="246" spans="1:23" ht="30" x14ac:dyDescent="0.25">
      <c r="A246" s="211"/>
      <c r="B246" s="9"/>
      <c r="C246" s="9"/>
      <c r="D246" s="9"/>
      <c r="E246" s="10"/>
      <c r="F246" s="10"/>
      <c r="G246" s="11"/>
      <c r="H246" s="10"/>
      <c r="I246" s="9"/>
      <c r="J246" s="213"/>
      <c r="K246" s="9"/>
      <c r="L246" s="207"/>
      <c r="M246" s="9">
        <v>134285.73300000001</v>
      </c>
      <c r="N246" s="81" t="s">
        <v>155</v>
      </c>
      <c r="O246" s="49" t="s">
        <v>156</v>
      </c>
      <c r="P246" s="7">
        <v>28</v>
      </c>
      <c r="Q246" s="8">
        <f>1585.91*56+3287.46*20</f>
        <v>154560.16</v>
      </c>
      <c r="R246" s="214"/>
      <c r="S246" s="214"/>
      <c r="T246" s="47">
        <v>14.91</v>
      </c>
      <c r="U246" s="214"/>
      <c r="V246" s="50">
        <f t="shared" si="22"/>
        <v>114263.73020970001</v>
      </c>
      <c r="W246" t="s">
        <v>244</v>
      </c>
    </row>
    <row r="247" spans="1:23" ht="30" x14ac:dyDescent="0.25">
      <c r="A247" s="210" t="s">
        <v>29</v>
      </c>
      <c r="B247" s="9"/>
      <c r="C247" s="9"/>
      <c r="D247" s="9"/>
      <c r="E247" s="10"/>
      <c r="F247" s="10"/>
      <c r="G247" s="11"/>
      <c r="H247" s="10"/>
      <c r="I247" s="9"/>
      <c r="J247" s="212">
        <f>B248*C248*((1-D248/100)+D248/100*1*1)</f>
        <v>151515.22500000001</v>
      </c>
      <c r="K247" s="9"/>
      <c r="L247" s="207"/>
      <c r="M247" s="9">
        <v>134285.73300000001</v>
      </c>
      <c r="N247" s="81" t="s">
        <v>159</v>
      </c>
      <c r="O247" s="49" t="s">
        <v>160</v>
      </c>
      <c r="P247" s="7">
        <v>21</v>
      </c>
      <c r="Q247" s="8">
        <f>3488.71*21+3287.46*10</f>
        <v>106137.51000000001</v>
      </c>
      <c r="R247" s="59"/>
      <c r="S247" s="59"/>
      <c r="T247" s="47">
        <v>14.91</v>
      </c>
      <c r="U247" s="206">
        <f>J247-J247*S248/100</f>
        <v>141242.492745</v>
      </c>
      <c r="V247" s="50">
        <f t="shared" si="22"/>
        <v>114263.73020970001</v>
      </c>
      <c r="W247" t="s">
        <v>245</v>
      </c>
    </row>
    <row r="248" spans="1:23" ht="30" x14ac:dyDescent="0.25">
      <c r="A248" s="216"/>
      <c r="B248" s="9">
        <v>13468.02</v>
      </c>
      <c r="C248" s="9">
        <v>11.25</v>
      </c>
      <c r="D248" s="9">
        <v>6.78</v>
      </c>
      <c r="E248" s="10">
        <v>1</v>
      </c>
      <c r="F248" s="10">
        <v>1</v>
      </c>
      <c r="G248" s="11"/>
      <c r="H248" s="10">
        <v>1</v>
      </c>
      <c r="I248" s="9">
        <f>B248*C248*((1-D248/100)+D248/100*1*1)</f>
        <v>151515.22500000001</v>
      </c>
      <c r="J248" s="217"/>
      <c r="K248" s="9">
        <f>B248*C248*((1-D248/100)+D248/100*1*1)</f>
        <v>151515.22500000001</v>
      </c>
      <c r="L248" s="208"/>
      <c r="M248" s="9">
        <v>134285.73300000001</v>
      </c>
      <c r="N248" s="81" t="s">
        <v>159</v>
      </c>
      <c r="O248" s="49" t="s">
        <v>160</v>
      </c>
      <c r="P248" s="7">
        <v>21</v>
      </c>
      <c r="Q248" s="8">
        <f>3488.71*21+3287.46*20</f>
        <v>139012.10999999999</v>
      </c>
      <c r="R248" s="206" t="e">
        <f>J247-#REF!</f>
        <v>#REF!</v>
      </c>
      <c r="S248" s="206">
        <v>6.78</v>
      </c>
      <c r="T248" s="47">
        <v>14.91</v>
      </c>
      <c r="U248" s="215"/>
      <c r="V248" s="50">
        <f t="shared" si="22"/>
        <v>114263.73020970001</v>
      </c>
      <c r="W248" t="s">
        <v>246</v>
      </c>
    </row>
    <row r="249" spans="1:23" ht="30" x14ac:dyDescent="0.25">
      <c r="A249" s="216"/>
      <c r="B249" s="9"/>
      <c r="C249" s="9"/>
      <c r="D249" s="9"/>
      <c r="E249" s="10"/>
      <c r="F249" s="10"/>
      <c r="G249" s="11"/>
      <c r="H249" s="10"/>
      <c r="I249" s="9"/>
      <c r="J249" s="217"/>
      <c r="K249" s="9"/>
      <c r="L249" s="209" t="s">
        <v>43</v>
      </c>
      <c r="M249" s="9">
        <v>187860.87000000002</v>
      </c>
      <c r="N249" s="81" t="s">
        <v>163</v>
      </c>
      <c r="O249" s="49" t="s">
        <v>164</v>
      </c>
      <c r="P249" s="7">
        <v>21</v>
      </c>
      <c r="Q249" s="8">
        <f>3287.46*10+1754.75*63</f>
        <v>143423.85</v>
      </c>
      <c r="R249" s="215"/>
      <c r="S249" s="215"/>
      <c r="T249" s="47">
        <v>9.99</v>
      </c>
      <c r="U249" s="215"/>
      <c r="V249" s="50">
        <f t="shared" si="22"/>
        <v>169093.56908700001</v>
      </c>
      <c r="W249" t="s">
        <v>247</v>
      </c>
    </row>
    <row r="250" spans="1:23" ht="30" x14ac:dyDescent="0.25">
      <c r="A250" s="211"/>
      <c r="B250" s="9"/>
      <c r="C250" s="9"/>
      <c r="D250" s="9"/>
      <c r="E250" s="10"/>
      <c r="F250" s="10"/>
      <c r="G250" s="11"/>
      <c r="H250" s="10"/>
      <c r="I250" s="9"/>
      <c r="J250" s="213"/>
      <c r="K250" s="9"/>
      <c r="L250" s="207"/>
      <c r="M250" s="9">
        <v>187860.87000000002</v>
      </c>
      <c r="N250" s="81" t="s">
        <v>163</v>
      </c>
      <c r="O250" s="49" t="s">
        <v>164</v>
      </c>
      <c r="P250" s="7">
        <v>21</v>
      </c>
      <c r="Q250" s="8">
        <f>3287.46*20+1754.75*63</f>
        <v>176298.45</v>
      </c>
      <c r="R250" s="208"/>
      <c r="S250" s="214"/>
      <c r="T250" s="47">
        <v>9.99</v>
      </c>
      <c r="U250" s="214"/>
      <c r="V250" s="50">
        <f t="shared" si="22"/>
        <v>169093.56908700001</v>
      </c>
      <c r="W250" t="s">
        <v>248</v>
      </c>
    </row>
    <row r="251" spans="1:23" x14ac:dyDescent="0.25">
      <c r="A251" s="210" t="s">
        <v>30</v>
      </c>
      <c r="B251" s="9">
        <v>13468.02</v>
      </c>
      <c r="C251" s="9">
        <v>15.26</v>
      </c>
      <c r="D251" s="9">
        <v>0.43</v>
      </c>
      <c r="E251" s="10">
        <v>1</v>
      </c>
      <c r="F251" s="10">
        <v>1</v>
      </c>
      <c r="G251" s="11"/>
      <c r="H251" s="10">
        <v>1</v>
      </c>
      <c r="I251" s="9">
        <f>B251*C251*((1-D251/100)+D251/100*1*1)</f>
        <v>205521.9852</v>
      </c>
      <c r="J251" s="212">
        <f>B251*C251*((1-D251/100)+D251/100*1*1)</f>
        <v>205521.9852</v>
      </c>
      <c r="K251" s="9">
        <f>B251*C251*((1-D251/100)+D251/100*1*1)</f>
        <v>205521.9852</v>
      </c>
      <c r="L251" s="208"/>
      <c r="M251" s="9">
        <v>187860.87000000002</v>
      </c>
      <c r="N251" s="81" t="s">
        <v>132</v>
      </c>
      <c r="O251" s="49" t="s">
        <v>133</v>
      </c>
      <c r="P251" s="7">
        <v>1</v>
      </c>
      <c r="Q251" s="8">
        <f>8598.61*22.5</f>
        <v>193468.72500000001</v>
      </c>
      <c r="R251" s="206" t="e">
        <f>J251-#REF!</f>
        <v>#REF!</v>
      </c>
      <c r="S251" s="206">
        <v>0.43</v>
      </c>
      <c r="T251" s="47">
        <v>9.99</v>
      </c>
      <c r="U251" s="206">
        <f>J251-J251*S251/100</f>
        <v>204638.24066364</v>
      </c>
      <c r="V251" s="50">
        <f t="shared" si="22"/>
        <v>169093.56908700001</v>
      </c>
      <c r="W251" t="s">
        <v>134</v>
      </c>
    </row>
    <row r="252" spans="1:23" x14ac:dyDescent="0.25">
      <c r="A252" s="216"/>
      <c r="B252" s="9"/>
      <c r="C252" s="9"/>
      <c r="D252" s="9"/>
      <c r="E252" s="10"/>
      <c r="F252" s="10"/>
      <c r="G252" s="11"/>
      <c r="H252" s="10"/>
      <c r="I252" s="9"/>
      <c r="J252" s="217"/>
      <c r="K252" s="9"/>
      <c r="L252" s="209" t="s">
        <v>44</v>
      </c>
      <c r="M252" s="9">
        <v>223067.38860000003</v>
      </c>
      <c r="N252" s="81" t="s">
        <v>135</v>
      </c>
      <c r="O252" s="49" t="s">
        <v>136</v>
      </c>
      <c r="P252" s="7">
        <v>1</v>
      </c>
      <c r="Q252" s="8">
        <f>8598.61*24</f>
        <v>206366.64</v>
      </c>
      <c r="R252" s="207"/>
      <c r="S252" s="215"/>
      <c r="T252" s="47">
        <v>8.49</v>
      </c>
      <c r="U252" s="207"/>
      <c r="V252" s="50">
        <f t="shared" si="22"/>
        <v>204128.96730786003</v>
      </c>
      <c r="W252" t="s">
        <v>137</v>
      </c>
    </row>
    <row r="253" spans="1:23" x14ac:dyDescent="0.25">
      <c r="A253" s="211"/>
      <c r="B253" s="9"/>
      <c r="C253" s="9"/>
      <c r="D253" s="9"/>
      <c r="E253" s="10"/>
      <c r="F253" s="10"/>
      <c r="G253" s="11"/>
      <c r="H253" s="10"/>
      <c r="I253" s="9"/>
      <c r="J253" s="213"/>
      <c r="K253" s="9"/>
      <c r="L253" s="208"/>
      <c r="M253" s="9">
        <v>223067.38860000003</v>
      </c>
      <c r="N253" s="61" t="s">
        <v>138</v>
      </c>
      <c r="O253" s="49" t="s">
        <v>139</v>
      </c>
      <c r="P253" s="7">
        <v>1</v>
      </c>
      <c r="Q253" s="8">
        <f>15537.5*15</f>
        <v>233062.5</v>
      </c>
      <c r="R253" s="208"/>
      <c r="S253" s="214"/>
      <c r="T253" s="47">
        <v>8.49</v>
      </c>
      <c r="U253" s="208"/>
      <c r="V253" s="50">
        <f t="shared" si="22"/>
        <v>204128.96730786003</v>
      </c>
      <c r="W253" t="s">
        <v>140</v>
      </c>
    </row>
    <row r="254" spans="1:23" x14ac:dyDescent="0.25">
      <c r="A254" s="53" t="s">
        <v>31</v>
      </c>
      <c r="B254" s="9"/>
      <c r="C254" s="9"/>
      <c r="D254" s="9"/>
      <c r="E254" s="10"/>
      <c r="F254" s="10"/>
      <c r="G254" s="11"/>
      <c r="H254" s="10"/>
      <c r="I254" s="9"/>
      <c r="J254" s="46">
        <v>321212.277</v>
      </c>
      <c r="K254" s="9"/>
      <c r="L254" s="209" t="s">
        <v>45</v>
      </c>
      <c r="M254" s="9">
        <v>378783.1764</v>
      </c>
      <c r="N254" s="81" t="s">
        <v>141</v>
      </c>
      <c r="O254" s="49" t="s">
        <v>142</v>
      </c>
      <c r="P254" s="7">
        <v>1</v>
      </c>
      <c r="Q254" s="8">
        <f>41905.55*8</f>
        <v>335244.40000000002</v>
      </c>
      <c r="R254" s="47" t="e">
        <f>J254-#REF!</f>
        <v>#REF!</v>
      </c>
      <c r="S254" s="47">
        <v>0.32</v>
      </c>
      <c r="T254" s="47">
        <v>2.82</v>
      </c>
      <c r="U254" s="47">
        <f>J254-J254*S254/100</f>
        <v>320184.39771360002</v>
      </c>
      <c r="V254" s="50">
        <f t="shared" si="22"/>
        <v>368101.49082552001</v>
      </c>
      <c r="W254" t="s">
        <v>143</v>
      </c>
    </row>
    <row r="255" spans="1:23" x14ac:dyDescent="0.25">
      <c r="A255" s="210" t="s">
        <v>32</v>
      </c>
      <c r="B255" s="9">
        <v>13468.02</v>
      </c>
      <c r="C255" s="9">
        <v>35.24</v>
      </c>
      <c r="D255" s="9">
        <v>0.67</v>
      </c>
      <c r="E255" s="10">
        <v>1</v>
      </c>
      <c r="F255" s="10">
        <v>1</v>
      </c>
      <c r="G255" s="11"/>
      <c r="H255" s="10">
        <v>1</v>
      </c>
      <c r="I255" s="9">
        <f>B255*C255*((1-D255/100)+D255/100*1*1)</f>
        <v>474613.02480000001</v>
      </c>
      <c r="J255" s="212">
        <f>B255*C255*((1-D255/100)+D255/100*1*1)</f>
        <v>474613.02480000001</v>
      </c>
      <c r="K255" s="9">
        <f>B255*C255*((1-D255/100)+D255/100*1*1)</f>
        <v>474613.02480000001</v>
      </c>
      <c r="L255" s="208"/>
      <c r="M255" s="9">
        <v>378783.1764</v>
      </c>
      <c r="N255" s="81" t="s">
        <v>144</v>
      </c>
      <c r="O255" s="49" t="s">
        <v>145</v>
      </c>
      <c r="P255" s="7">
        <v>1</v>
      </c>
      <c r="Q255" s="8">
        <f>8598.61*48</f>
        <v>412733.28</v>
      </c>
      <c r="R255" s="206" t="e">
        <f>J255-#REF!</f>
        <v>#REF!</v>
      </c>
      <c r="S255" s="206">
        <v>0.67</v>
      </c>
      <c r="T255" s="47">
        <v>2.82</v>
      </c>
      <c r="U255" s="206">
        <f>J255-J255*S255/100</f>
        <v>471433.11753384001</v>
      </c>
      <c r="V255" s="50">
        <f t="shared" si="22"/>
        <v>368101.49082552001</v>
      </c>
      <c r="W255" t="s">
        <v>146</v>
      </c>
    </row>
    <row r="256" spans="1:23" x14ac:dyDescent="0.25">
      <c r="A256" s="211"/>
      <c r="B256" s="48"/>
      <c r="C256" s="48"/>
      <c r="D256" s="48"/>
      <c r="E256" s="48"/>
      <c r="F256" s="48"/>
      <c r="G256" s="48"/>
      <c r="H256" s="48"/>
      <c r="I256" s="48"/>
      <c r="J256" s="213"/>
      <c r="K256" s="48"/>
      <c r="L256" s="52" t="s">
        <v>46</v>
      </c>
      <c r="M256" s="9">
        <v>788319.87300000002</v>
      </c>
      <c r="N256" s="81" t="s">
        <v>149</v>
      </c>
      <c r="O256" s="49" t="s">
        <v>150</v>
      </c>
      <c r="P256" s="7">
        <v>1</v>
      </c>
      <c r="Q256" s="8">
        <f>41905.55*16</f>
        <v>670488.80000000005</v>
      </c>
      <c r="R256" s="208"/>
      <c r="S256" s="214"/>
      <c r="T256" s="47">
        <v>0.23</v>
      </c>
      <c r="U256" s="208"/>
      <c r="V256" s="50">
        <f t="shared" si="22"/>
        <v>786506.73729209998</v>
      </c>
      <c r="W256" t="s">
        <v>151</v>
      </c>
    </row>
    <row r="257" spans="1:23" ht="14.25" customHeight="1" x14ac:dyDescent="0.25">
      <c r="A257" s="62" t="s">
        <v>32</v>
      </c>
      <c r="B257" s="63"/>
      <c r="C257" s="63"/>
      <c r="D257" s="63"/>
      <c r="E257" s="64"/>
      <c r="F257" s="65"/>
      <c r="G257" s="65"/>
      <c r="H257" s="64"/>
      <c r="I257" s="63"/>
      <c r="J257" s="66">
        <v>474613.02480000001</v>
      </c>
      <c r="K257" s="67"/>
      <c r="L257" s="52" t="s">
        <v>46</v>
      </c>
      <c r="M257" s="9">
        <v>788319.87300000002</v>
      </c>
      <c r="N257" s="7" t="s">
        <v>147</v>
      </c>
      <c r="O257" s="49" t="s">
        <v>148</v>
      </c>
      <c r="P257" s="7">
        <v>1</v>
      </c>
      <c r="Q257" s="51">
        <f>8598.61*7.5+21048.8*45</f>
        <v>1011685.575</v>
      </c>
      <c r="R257" s="87"/>
      <c r="S257" s="8">
        <v>0.67</v>
      </c>
      <c r="T257" s="8">
        <v>0.23</v>
      </c>
      <c r="U257" s="8">
        <f>J257-J257*S257/100</f>
        <v>471433.11753384001</v>
      </c>
      <c r="V257" s="50">
        <f t="shared" si="22"/>
        <v>786506.73729209998</v>
      </c>
      <c r="W257" t="s">
        <v>324</v>
      </c>
    </row>
  </sheetData>
  <mergeCells count="473">
    <mergeCell ref="A9:K9"/>
    <mergeCell ref="A10:A11"/>
    <mergeCell ref="B10:B11"/>
    <mergeCell ref="C10:C11"/>
    <mergeCell ref="D10:D11"/>
    <mergeCell ref="E10:G10"/>
    <mergeCell ref="H10:H11"/>
    <mergeCell ref="I10:I11"/>
    <mergeCell ref="J10:J11"/>
    <mergeCell ref="K10:K11"/>
    <mergeCell ref="R10:R11"/>
    <mergeCell ref="S10:S11"/>
    <mergeCell ref="T10:T11"/>
    <mergeCell ref="U10:U11"/>
    <mergeCell ref="V10:V11"/>
    <mergeCell ref="A13:A15"/>
    <mergeCell ref="J13:J15"/>
    <mergeCell ref="L13:L14"/>
    <mergeCell ref="M13:M14"/>
    <mergeCell ref="R13:R15"/>
    <mergeCell ref="L10:L11"/>
    <mergeCell ref="M10:M11"/>
    <mergeCell ref="N10:N11"/>
    <mergeCell ref="O10:O11"/>
    <mergeCell ref="P10:P11"/>
    <mergeCell ref="Q10:Q11"/>
    <mergeCell ref="S13:S15"/>
    <mergeCell ref="U13:U15"/>
    <mergeCell ref="V13:V14"/>
    <mergeCell ref="A20:A23"/>
    <mergeCell ref="B20:B22"/>
    <mergeCell ref="J20:J23"/>
    <mergeCell ref="R20:R22"/>
    <mergeCell ref="S20:S23"/>
    <mergeCell ref="U20:U23"/>
    <mergeCell ref="L21:L25"/>
    <mergeCell ref="M21:M25"/>
    <mergeCell ref="V21:V25"/>
    <mergeCell ref="A24:A27"/>
    <mergeCell ref="B24:B26"/>
    <mergeCell ref="J24:J27"/>
    <mergeCell ref="R24:R26"/>
    <mergeCell ref="S24:S27"/>
    <mergeCell ref="U24:U27"/>
    <mergeCell ref="L26:L28"/>
    <mergeCell ref="M26:M28"/>
    <mergeCell ref="V26:V28"/>
    <mergeCell ref="A28:A30"/>
    <mergeCell ref="B28:B30"/>
    <mergeCell ref="J28:J30"/>
    <mergeCell ref="R28:R30"/>
    <mergeCell ref="S28:S30"/>
    <mergeCell ref="U28:U30"/>
    <mergeCell ref="L29:L30"/>
    <mergeCell ref="M29:M30"/>
    <mergeCell ref="V29:V30"/>
    <mergeCell ref="L31:L32"/>
    <mergeCell ref="M31:M32"/>
    <mergeCell ref="V31:V32"/>
    <mergeCell ref="A32:A33"/>
    <mergeCell ref="B32:B33"/>
    <mergeCell ref="J32:J33"/>
    <mergeCell ref="R32:R33"/>
    <mergeCell ref="S32:S33"/>
    <mergeCell ref="U32:U33"/>
    <mergeCell ref="A36:K36"/>
    <mergeCell ref="A37:A39"/>
    <mergeCell ref="B37:B39"/>
    <mergeCell ref="C37:C39"/>
    <mergeCell ref="D37:D39"/>
    <mergeCell ref="E37:G37"/>
    <mergeCell ref="H37:H39"/>
    <mergeCell ref="I37:I39"/>
    <mergeCell ref="J37:J39"/>
    <mergeCell ref="K37:K39"/>
    <mergeCell ref="R37:R39"/>
    <mergeCell ref="U37:U39"/>
    <mergeCell ref="V37:V39"/>
    <mergeCell ref="S38:S39"/>
    <mergeCell ref="T38:T39"/>
    <mergeCell ref="A41:A43"/>
    <mergeCell ref="J41:J43"/>
    <mergeCell ref="L41:L42"/>
    <mergeCell ref="R41:R43"/>
    <mergeCell ref="S41:S43"/>
    <mergeCell ref="L37:L39"/>
    <mergeCell ref="M37:M39"/>
    <mergeCell ref="N37:N39"/>
    <mergeCell ref="O37:O39"/>
    <mergeCell ref="P37:P39"/>
    <mergeCell ref="Q37:Q39"/>
    <mergeCell ref="U41:U43"/>
    <mergeCell ref="A48:A52"/>
    <mergeCell ref="J48:J52"/>
    <mergeCell ref="R48:R51"/>
    <mergeCell ref="S48:S51"/>
    <mergeCell ref="U48:U52"/>
    <mergeCell ref="L49:L54"/>
    <mergeCell ref="A53:A56"/>
    <mergeCell ref="J53:J56"/>
    <mergeCell ref="R53:R55"/>
    <mergeCell ref="L60:L61"/>
    <mergeCell ref="A61:A62"/>
    <mergeCell ref="J61:J62"/>
    <mergeCell ref="R61:R62"/>
    <mergeCell ref="S61:S62"/>
    <mergeCell ref="U61:U62"/>
    <mergeCell ref="S53:S55"/>
    <mergeCell ref="U53:U56"/>
    <mergeCell ref="L55:L57"/>
    <mergeCell ref="A57:A59"/>
    <mergeCell ref="J57:J59"/>
    <mergeCell ref="R57:R59"/>
    <mergeCell ref="S57:S59"/>
    <mergeCell ref="U57:U59"/>
    <mergeCell ref="L58:L59"/>
    <mergeCell ref="A65:K65"/>
    <mergeCell ref="A66:A67"/>
    <mergeCell ref="B66:B67"/>
    <mergeCell ref="C66:C67"/>
    <mergeCell ref="D66:D67"/>
    <mergeCell ref="E66:G66"/>
    <mergeCell ref="H66:H67"/>
    <mergeCell ref="I66:I67"/>
    <mergeCell ref="J66:J67"/>
    <mergeCell ref="K66:K67"/>
    <mergeCell ref="R66:R67"/>
    <mergeCell ref="S66:S67"/>
    <mergeCell ref="T66:T67"/>
    <mergeCell ref="U66:U67"/>
    <mergeCell ref="V66:V67"/>
    <mergeCell ref="A69:A71"/>
    <mergeCell ref="J69:J71"/>
    <mergeCell ref="L69:L70"/>
    <mergeCell ref="R69:R71"/>
    <mergeCell ref="S69:S71"/>
    <mergeCell ref="L66:L67"/>
    <mergeCell ref="M66:M67"/>
    <mergeCell ref="N66:N67"/>
    <mergeCell ref="O66:O67"/>
    <mergeCell ref="P66:P67"/>
    <mergeCell ref="Q66:Q67"/>
    <mergeCell ref="U69:U71"/>
    <mergeCell ref="A76:A80"/>
    <mergeCell ref="J76:J80"/>
    <mergeCell ref="R76:R80"/>
    <mergeCell ref="S76:S80"/>
    <mergeCell ref="U76:U80"/>
    <mergeCell ref="L77:L82"/>
    <mergeCell ref="A81:A84"/>
    <mergeCell ref="J81:J84"/>
    <mergeCell ref="U81:U84"/>
    <mergeCell ref="U85:U87"/>
    <mergeCell ref="L86:L87"/>
    <mergeCell ref="L88:L89"/>
    <mergeCell ref="A89:A90"/>
    <mergeCell ref="J89:J90"/>
    <mergeCell ref="R89:R90"/>
    <mergeCell ref="S89:S90"/>
    <mergeCell ref="U89:U90"/>
    <mergeCell ref="R82:R84"/>
    <mergeCell ref="S82:S84"/>
    <mergeCell ref="L83:L85"/>
    <mergeCell ref="A85:A87"/>
    <mergeCell ref="J85:J87"/>
    <mergeCell ref="R85:R87"/>
    <mergeCell ref="S85:S87"/>
    <mergeCell ref="A93:K93"/>
    <mergeCell ref="A94:A95"/>
    <mergeCell ref="B94:B95"/>
    <mergeCell ref="C94:C95"/>
    <mergeCell ref="D94:D95"/>
    <mergeCell ref="E94:G94"/>
    <mergeCell ref="H94:H95"/>
    <mergeCell ref="I94:I95"/>
    <mergeCell ref="J94:J95"/>
    <mergeCell ref="K94:K95"/>
    <mergeCell ref="R94:R95"/>
    <mergeCell ref="S94:S95"/>
    <mergeCell ref="T94:T95"/>
    <mergeCell ref="U94:U95"/>
    <mergeCell ref="V94:V95"/>
    <mergeCell ref="A97:A99"/>
    <mergeCell ref="J97:J99"/>
    <mergeCell ref="L97:L98"/>
    <mergeCell ref="R97:R99"/>
    <mergeCell ref="S97:S99"/>
    <mergeCell ref="L94:L95"/>
    <mergeCell ref="M94:M95"/>
    <mergeCell ref="N94:N95"/>
    <mergeCell ref="O94:O95"/>
    <mergeCell ref="P94:P95"/>
    <mergeCell ref="Q94:Q95"/>
    <mergeCell ref="U97:U99"/>
    <mergeCell ref="A104:A107"/>
    <mergeCell ref="J104:J107"/>
    <mergeCell ref="R104:R107"/>
    <mergeCell ref="S104:S107"/>
    <mergeCell ref="U104:U107"/>
    <mergeCell ref="L105:L109"/>
    <mergeCell ref="A108:A111"/>
    <mergeCell ref="J108:J111"/>
    <mergeCell ref="U108:U111"/>
    <mergeCell ref="U112:U114"/>
    <mergeCell ref="L113:L114"/>
    <mergeCell ref="L115:L116"/>
    <mergeCell ref="A116:A117"/>
    <mergeCell ref="J116:J117"/>
    <mergeCell ref="R116:R117"/>
    <mergeCell ref="S116:S117"/>
    <mergeCell ref="U116:U117"/>
    <mergeCell ref="R109:R111"/>
    <mergeCell ref="S109:S111"/>
    <mergeCell ref="L110:L112"/>
    <mergeCell ref="A112:A114"/>
    <mergeCell ref="J112:J114"/>
    <mergeCell ref="R112:R114"/>
    <mergeCell ref="S112:S114"/>
    <mergeCell ref="A120:K120"/>
    <mergeCell ref="A121:A122"/>
    <mergeCell ref="B121:B122"/>
    <mergeCell ref="C121:C122"/>
    <mergeCell ref="D121:D122"/>
    <mergeCell ref="E121:G121"/>
    <mergeCell ref="H121:H122"/>
    <mergeCell ref="I121:I122"/>
    <mergeCell ref="J121:J122"/>
    <mergeCell ref="K121:K122"/>
    <mergeCell ref="R121:R122"/>
    <mergeCell ref="S121:S122"/>
    <mergeCell ref="T121:T122"/>
    <mergeCell ref="U121:U122"/>
    <mergeCell ref="V121:V122"/>
    <mergeCell ref="A124:A126"/>
    <mergeCell ref="J124:J126"/>
    <mergeCell ref="L124:L125"/>
    <mergeCell ref="R124:R126"/>
    <mergeCell ref="S124:S126"/>
    <mergeCell ref="L121:L122"/>
    <mergeCell ref="M121:M122"/>
    <mergeCell ref="N121:N122"/>
    <mergeCell ref="O121:O122"/>
    <mergeCell ref="P121:P122"/>
    <mergeCell ref="Q121:Q122"/>
    <mergeCell ref="U124:U126"/>
    <mergeCell ref="A131:A135"/>
    <mergeCell ref="J131:J135"/>
    <mergeCell ref="R131:R135"/>
    <mergeCell ref="S131:S135"/>
    <mergeCell ref="U131:U135"/>
    <mergeCell ref="L132:L137"/>
    <mergeCell ref="A136:A139"/>
    <mergeCell ref="J136:J139"/>
    <mergeCell ref="U136:U139"/>
    <mergeCell ref="U140:U142"/>
    <mergeCell ref="L141:L142"/>
    <mergeCell ref="L143:L144"/>
    <mergeCell ref="A144:A145"/>
    <mergeCell ref="J144:J145"/>
    <mergeCell ref="R144:R145"/>
    <mergeCell ref="S144:S145"/>
    <mergeCell ref="U144:U145"/>
    <mergeCell ref="R137:R139"/>
    <mergeCell ref="S137:S139"/>
    <mergeCell ref="L138:L140"/>
    <mergeCell ref="A140:A142"/>
    <mergeCell ref="J140:J142"/>
    <mergeCell ref="R140:R142"/>
    <mergeCell ref="S140:S142"/>
    <mergeCell ref="A148:K148"/>
    <mergeCell ref="A149:A150"/>
    <mergeCell ref="B149:B150"/>
    <mergeCell ref="C149:C150"/>
    <mergeCell ref="D149:D150"/>
    <mergeCell ref="E149:G149"/>
    <mergeCell ref="H149:H150"/>
    <mergeCell ref="I149:I150"/>
    <mergeCell ref="J149:J150"/>
    <mergeCell ref="K149:K150"/>
    <mergeCell ref="R149:R150"/>
    <mergeCell ref="S149:S150"/>
    <mergeCell ref="T149:T150"/>
    <mergeCell ref="U149:U150"/>
    <mergeCell ref="V149:V150"/>
    <mergeCell ref="A152:A154"/>
    <mergeCell ref="J152:J154"/>
    <mergeCell ref="L152:L153"/>
    <mergeCell ref="R152:R154"/>
    <mergeCell ref="S152:S154"/>
    <mergeCell ref="L149:L150"/>
    <mergeCell ref="M149:M150"/>
    <mergeCell ref="N149:N150"/>
    <mergeCell ref="O149:O150"/>
    <mergeCell ref="P149:P150"/>
    <mergeCell ref="Q149:Q150"/>
    <mergeCell ref="U152:U154"/>
    <mergeCell ref="A159:A163"/>
    <mergeCell ref="J159:J163"/>
    <mergeCell ref="R159:R163"/>
    <mergeCell ref="S159:S163"/>
    <mergeCell ref="U159:U163"/>
    <mergeCell ref="L160:L165"/>
    <mergeCell ref="A164:A167"/>
    <mergeCell ref="J164:J167"/>
    <mergeCell ref="U164:U167"/>
    <mergeCell ref="U168:U170"/>
    <mergeCell ref="L169:L170"/>
    <mergeCell ref="L171:L172"/>
    <mergeCell ref="A172:A173"/>
    <mergeCell ref="J172:J173"/>
    <mergeCell ref="R172:R173"/>
    <mergeCell ref="S172:S173"/>
    <mergeCell ref="U172:U173"/>
    <mergeCell ref="R165:R167"/>
    <mergeCell ref="S165:S167"/>
    <mergeCell ref="L166:L168"/>
    <mergeCell ref="A168:A170"/>
    <mergeCell ref="J168:J170"/>
    <mergeCell ref="R168:R170"/>
    <mergeCell ref="S168:S170"/>
    <mergeCell ref="A176:K176"/>
    <mergeCell ref="A177:A178"/>
    <mergeCell ref="B177:B178"/>
    <mergeCell ref="C177:C178"/>
    <mergeCell ref="D177:D178"/>
    <mergeCell ref="E177:G177"/>
    <mergeCell ref="H177:H178"/>
    <mergeCell ref="I177:I178"/>
    <mergeCell ref="J177:J178"/>
    <mergeCell ref="K177:K178"/>
    <mergeCell ref="R177:R178"/>
    <mergeCell ref="S177:S178"/>
    <mergeCell ref="T177:T178"/>
    <mergeCell ref="U177:U178"/>
    <mergeCell ref="V177:V178"/>
    <mergeCell ref="A180:A182"/>
    <mergeCell ref="J180:J182"/>
    <mergeCell ref="L180:L181"/>
    <mergeCell ref="R180:R182"/>
    <mergeCell ref="S180:S182"/>
    <mergeCell ref="L177:L178"/>
    <mergeCell ref="M177:M178"/>
    <mergeCell ref="N177:N178"/>
    <mergeCell ref="O177:O178"/>
    <mergeCell ref="P177:P178"/>
    <mergeCell ref="Q177:Q178"/>
    <mergeCell ref="U180:U182"/>
    <mergeCell ref="A187:A191"/>
    <mergeCell ref="J187:J191"/>
    <mergeCell ref="R187:R191"/>
    <mergeCell ref="S187:S191"/>
    <mergeCell ref="U187:U191"/>
    <mergeCell ref="L188:L193"/>
    <mergeCell ref="A192:A195"/>
    <mergeCell ref="J192:J195"/>
    <mergeCell ref="U192:U195"/>
    <mergeCell ref="U196:U198"/>
    <mergeCell ref="L197:L198"/>
    <mergeCell ref="L199:L200"/>
    <mergeCell ref="A200:A201"/>
    <mergeCell ref="J200:J201"/>
    <mergeCell ref="R200:R201"/>
    <mergeCell ref="S200:S201"/>
    <mergeCell ref="U200:U201"/>
    <mergeCell ref="R193:R195"/>
    <mergeCell ref="S193:S195"/>
    <mergeCell ref="L194:L196"/>
    <mergeCell ref="A196:A198"/>
    <mergeCell ref="J196:J198"/>
    <mergeCell ref="R196:R198"/>
    <mergeCell ref="S196:S198"/>
    <mergeCell ref="A204:K204"/>
    <mergeCell ref="A205:A206"/>
    <mergeCell ref="B205:B206"/>
    <mergeCell ref="C205:C206"/>
    <mergeCell ref="D205:D206"/>
    <mergeCell ref="E205:G205"/>
    <mergeCell ref="H205:H206"/>
    <mergeCell ref="I205:I206"/>
    <mergeCell ref="J205:J206"/>
    <mergeCell ref="K205:K206"/>
    <mergeCell ref="R205:R206"/>
    <mergeCell ref="S205:S206"/>
    <mergeCell ref="T205:T206"/>
    <mergeCell ref="U205:U206"/>
    <mergeCell ref="V205:V206"/>
    <mergeCell ref="A208:A210"/>
    <mergeCell ref="J208:J210"/>
    <mergeCell ref="L208:L209"/>
    <mergeCell ref="R208:R210"/>
    <mergeCell ref="S208:S210"/>
    <mergeCell ref="L205:L206"/>
    <mergeCell ref="M205:M206"/>
    <mergeCell ref="N205:N206"/>
    <mergeCell ref="O205:O206"/>
    <mergeCell ref="P205:P206"/>
    <mergeCell ref="Q205:Q206"/>
    <mergeCell ref="U208:U210"/>
    <mergeCell ref="A215:A219"/>
    <mergeCell ref="J215:J219"/>
    <mergeCell ref="R215:R219"/>
    <mergeCell ref="S215:S219"/>
    <mergeCell ref="U215:U219"/>
    <mergeCell ref="L216:L221"/>
    <mergeCell ref="A220:A223"/>
    <mergeCell ref="J220:J223"/>
    <mergeCell ref="U220:U223"/>
    <mergeCell ref="U224:U226"/>
    <mergeCell ref="L225:L226"/>
    <mergeCell ref="L227:L228"/>
    <mergeCell ref="A228:A229"/>
    <mergeCell ref="J228:J229"/>
    <mergeCell ref="R228:R229"/>
    <mergeCell ref="S228:S229"/>
    <mergeCell ref="U228:U229"/>
    <mergeCell ref="R221:R223"/>
    <mergeCell ref="S221:S223"/>
    <mergeCell ref="L222:L224"/>
    <mergeCell ref="A224:A226"/>
    <mergeCell ref="J224:J226"/>
    <mergeCell ref="R224:R226"/>
    <mergeCell ref="S224:S226"/>
    <mergeCell ref="A232:K232"/>
    <mergeCell ref="A233:A234"/>
    <mergeCell ref="B233:B234"/>
    <mergeCell ref="C233:C234"/>
    <mergeCell ref="D233:D234"/>
    <mergeCell ref="E233:G233"/>
    <mergeCell ref="H233:H234"/>
    <mergeCell ref="I233:I234"/>
    <mergeCell ref="J233:J234"/>
    <mergeCell ref="K233:K234"/>
    <mergeCell ref="R233:R234"/>
    <mergeCell ref="S233:S234"/>
    <mergeCell ref="T233:T234"/>
    <mergeCell ref="U233:U234"/>
    <mergeCell ref="V233:V234"/>
    <mergeCell ref="A236:A238"/>
    <mergeCell ref="J236:J238"/>
    <mergeCell ref="L236:L237"/>
    <mergeCell ref="R236:R238"/>
    <mergeCell ref="S236:S238"/>
    <mergeCell ref="L233:L234"/>
    <mergeCell ref="M233:M234"/>
    <mergeCell ref="N233:N234"/>
    <mergeCell ref="O233:O234"/>
    <mergeCell ref="P233:P234"/>
    <mergeCell ref="Q233:Q234"/>
    <mergeCell ref="U236:U238"/>
    <mergeCell ref="A243:A246"/>
    <mergeCell ref="J243:J246"/>
    <mergeCell ref="R243:R246"/>
    <mergeCell ref="S243:S246"/>
    <mergeCell ref="U243:U246"/>
    <mergeCell ref="L244:L248"/>
    <mergeCell ref="A247:A250"/>
    <mergeCell ref="J247:J250"/>
    <mergeCell ref="U247:U250"/>
    <mergeCell ref="U251:U253"/>
    <mergeCell ref="L252:L253"/>
    <mergeCell ref="L254:L255"/>
    <mergeCell ref="A255:A256"/>
    <mergeCell ref="J255:J256"/>
    <mergeCell ref="R255:R256"/>
    <mergeCell ref="S255:S256"/>
    <mergeCell ref="U255:U256"/>
    <mergeCell ref="R248:R250"/>
    <mergeCell ref="S248:S250"/>
    <mergeCell ref="L249:L251"/>
    <mergeCell ref="A251:A253"/>
    <mergeCell ref="J251:J253"/>
    <mergeCell ref="R251:R253"/>
    <mergeCell ref="S251:S25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247"/>
  <sheetViews>
    <sheetView tabSelected="1" zoomScaleNormal="100" workbookViewId="0">
      <pane xSplit="5" ySplit="2" topLeftCell="F3" activePane="bottomRight" state="frozen"/>
      <selection pane="topRight" activeCell="G1" sqref="G1"/>
      <selection pane="bottomLeft" activeCell="A3" sqref="A3"/>
      <selection pane="bottomRight" activeCell="C50" sqref="C50"/>
    </sheetView>
  </sheetViews>
  <sheetFormatPr defaultRowHeight="15" x14ac:dyDescent="0.25"/>
  <cols>
    <col min="1" max="1" width="19.28515625" customWidth="1"/>
    <col min="2" max="3" width="26.42578125" customWidth="1"/>
    <col min="4" max="4" width="14.140625" customWidth="1"/>
    <col min="5" max="5" width="38.85546875" customWidth="1"/>
    <col min="6" max="53" width="18.85546875" style="119" customWidth="1"/>
    <col min="54" max="55" width="19" style="119" customWidth="1"/>
    <col min="56" max="56" width="19" customWidth="1"/>
    <col min="57" max="57" width="19.7109375" customWidth="1"/>
    <col min="58" max="58" width="20.42578125" customWidth="1"/>
  </cols>
  <sheetData>
    <row r="1" spans="1:58" ht="15.75" thickBot="1" x14ac:dyDescent="0.3">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5"/>
    </row>
    <row r="2" spans="1:58" ht="15.75" thickBot="1" x14ac:dyDescent="0.3">
      <c r="A2" s="88">
        <v>1</v>
      </c>
      <c r="B2" s="89">
        <v>2</v>
      </c>
      <c r="C2" s="151"/>
      <c r="D2" s="151">
        <v>3</v>
      </c>
      <c r="E2" s="150">
        <v>5</v>
      </c>
      <c r="F2" s="170">
        <v>6</v>
      </c>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2"/>
      <c r="BE2" s="42"/>
      <c r="BF2" s="73"/>
    </row>
    <row r="3" spans="1:58" ht="140.25" customHeight="1" thickBot="1" x14ac:dyDescent="0.3">
      <c r="A3" s="90" t="s">
        <v>169</v>
      </c>
      <c r="B3" s="151" t="s">
        <v>249</v>
      </c>
      <c r="C3" s="151" t="s">
        <v>250</v>
      </c>
      <c r="D3" s="91" t="s">
        <v>251</v>
      </c>
      <c r="E3" s="91" t="s">
        <v>252</v>
      </c>
      <c r="F3" s="166" t="s">
        <v>253</v>
      </c>
      <c r="G3" s="166" t="s">
        <v>254</v>
      </c>
      <c r="H3" s="166" t="s">
        <v>120</v>
      </c>
      <c r="I3" s="166" t="s">
        <v>255</v>
      </c>
      <c r="J3" s="166" t="s">
        <v>256</v>
      </c>
      <c r="K3" s="426"/>
      <c r="L3" s="167" t="s">
        <v>257</v>
      </c>
      <c r="M3" s="166" t="s">
        <v>254</v>
      </c>
      <c r="N3" s="166" t="s">
        <v>120</v>
      </c>
      <c r="O3" s="167" t="s">
        <v>258</v>
      </c>
      <c r="P3" s="166" t="s">
        <v>256</v>
      </c>
      <c r="Q3" s="426"/>
      <c r="R3" s="152" t="s">
        <v>259</v>
      </c>
      <c r="S3" s="152" t="s">
        <v>254</v>
      </c>
      <c r="T3" s="152" t="s">
        <v>120</v>
      </c>
      <c r="U3" s="152" t="s">
        <v>260</v>
      </c>
      <c r="V3" s="152" t="s">
        <v>256</v>
      </c>
      <c r="W3" s="426"/>
      <c r="X3" s="152" t="s">
        <v>261</v>
      </c>
      <c r="Y3" s="152" t="s">
        <v>262</v>
      </c>
      <c r="Z3" s="152" t="s">
        <v>120</v>
      </c>
      <c r="AA3" s="152" t="s">
        <v>263</v>
      </c>
      <c r="AB3" s="152" t="s">
        <v>256</v>
      </c>
      <c r="AC3" s="426"/>
      <c r="AD3" s="152" t="s">
        <v>264</v>
      </c>
      <c r="AE3" s="152" t="s">
        <v>254</v>
      </c>
      <c r="AF3" s="152" t="s">
        <v>120</v>
      </c>
      <c r="AG3" s="152" t="s">
        <v>265</v>
      </c>
      <c r="AH3" s="152" t="s">
        <v>256</v>
      </c>
      <c r="AI3" s="426"/>
      <c r="AJ3" s="152" t="s">
        <v>266</v>
      </c>
      <c r="AK3" s="152" t="s">
        <v>267</v>
      </c>
      <c r="AL3" s="152" t="s">
        <v>120</v>
      </c>
      <c r="AM3" s="152" t="s">
        <v>268</v>
      </c>
      <c r="AN3" s="152" t="s">
        <v>256</v>
      </c>
      <c r="AO3" s="426"/>
      <c r="AP3" s="152" t="s">
        <v>269</v>
      </c>
      <c r="AQ3" s="152" t="s">
        <v>267</v>
      </c>
      <c r="AR3" s="152" t="s">
        <v>120</v>
      </c>
      <c r="AS3" s="152" t="s">
        <v>270</v>
      </c>
      <c r="AT3" s="152" t="s">
        <v>256</v>
      </c>
      <c r="AU3" s="426"/>
      <c r="AV3" s="152" t="s">
        <v>271</v>
      </c>
      <c r="AW3" s="152" t="s">
        <v>267</v>
      </c>
      <c r="AX3" s="152" t="s">
        <v>120</v>
      </c>
      <c r="AY3" s="152" t="s">
        <v>272</v>
      </c>
      <c r="AZ3" s="152" t="s">
        <v>256</v>
      </c>
      <c r="BA3" s="426"/>
      <c r="BB3" s="152" t="s">
        <v>273</v>
      </c>
      <c r="BC3" s="152" t="s">
        <v>267</v>
      </c>
      <c r="BD3" s="91" t="s">
        <v>120</v>
      </c>
      <c r="BE3" s="152" t="s">
        <v>274</v>
      </c>
      <c r="BF3" s="152" t="s">
        <v>256</v>
      </c>
    </row>
    <row r="4" spans="1:58" ht="15" customHeight="1" thickBot="1" x14ac:dyDescent="0.3">
      <c r="A4" s="403" t="s">
        <v>275</v>
      </c>
      <c r="B4" s="404"/>
      <c r="C4" s="404"/>
      <c r="D4" s="423"/>
      <c r="E4" s="440"/>
      <c r="F4" s="173"/>
      <c r="G4" s="118"/>
      <c r="H4" s="118"/>
      <c r="I4" s="93"/>
      <c r="J4" s="161"/>
      <c r="K4" s="426"/>
      <c r="L4" s="173"/>
      <c r="M4" s="118"/>
      <c r="N4" s="118"/>
      <c r="O4" s="94"/>
      <c r="P4" s="153"/>
      <c r="Q4" s="426"/>
      <c r="R4" s="160"/>
      <c r="S4" s="143"/>
      <c r="T4" s="92"/>
      <c r="U4" s="92"/>
      <c r="V4" s="153"/>
      <c r="W4" s="426"/>
      <c r="X4" s="262"/>
      <c r="Y4" s="263"/>
      <c r="Z4" s="263"/>
      <c r="AA4" s="263"/>
      <c r="AB4" s="264"/>
      <c r="AC4" s="426"/>
      <c r="AD4" s="262"/>
      <c r="AE4" s="263"/>
      <c r="AF4" s="263"/>
      <c r="AG4" s="263"/>
      <c r="AH4" s="264"/>
      <c r="AI4" s="426"/>
      <c r="AJ4" s="262"/>
      <c r="AK4" s="263"/>
      <c r="AL4" s="263"/>
      <c r="AM4" s="263"/>
      <c r="AN4" s="264"/>
      <c r="AO4" s="426"/>
      <c r="AP4" s="262"/>
      <c r="AQ4" s="263"/>
      <c r="AR4" s="263"/>
      <c r="AS4" s="263"/>
      <c r="AT4" s="264"/>
      <c r="AU4" s="426"/>
      <c r="AV4" s="262"/>
      <c r="AW4" s="263"/>
      <c r="AX4" s="263"/>
      <c r="AY4" s="263"/>
      <c r="AZ4" s="264"/>
      <c r="BA4" s="426"/>
      <c r="BB4" s="259"/>
      <c r="BC4" s="260"/>
      <c r="BD4" s="260"/>
      <c r="BE4" s="260"/>
      <c r="BF4" s="261"/>
    </row>
    <row r="5" spans="1:58" ht="14.45" customHeight="1" thickBot="1" x14ac:dyDescent="0.3">
      <c r="A5" s="371" t="s">
        <v>276</v>
      </c>
      <c r="B5" s="97" t="s">
        <v>277</v>
      </c>
      <c r="C5" s="19" t="s">
        <v>34</v>
      </c>
      <c r="D5" s="358" t="s">
        <v>129</v>
      </c>
      <c r="E5" s="424" t="s">
        <v>278</v>
      </c>
      <c r="F5" s="313">
        <v>99219.852899999998</v>
      </c>
      <c r="G5" s="312">
        <v>81816.690701340005</v>
      </c>
      <c r="H5" s="313">
        <v>130757.4</v>
      </c>
      <c r="I5" s="319">
        <v>118366.352</v>
      </c>
      <c r="J5" s="321">
        <v>111453.75704320001</v>
      </c>
      <c r="K5" s="426"/>
      <c r="L5" s="313">
        <v>106563.17623465801</v>
      </c>
      <c r="M5" s="312">
        <v>87871.995123098997</v>
      </c>
      <c r="N5" s="313">
        <v>134055.67499999999</v>
      </c>
      <c r="O5" s="319">
        <v>122237.80472092802</v>
      </c>
      <c r="P5" s="321">
        <v>115099.116925226</v>
      </c>
      <c r="Q5" s="426"/>
      <c r="R5" s="324">
        <v>112954.33219636997</v>
      </c>
      <c r="S5" s="321">
        <v>93142.142329126684</v>
      </c>
      <c r="T5" s="319">
        <v>123553.65</v>
      </c>
      <c r="U5" s="319">
        <v>125084.73665983217</v>
      </c>
      <c r="V5" s="321">
        <v>117779.788038898</v>
      </c>
      <c r="W5" s="426"/>
      <c r="X5" s="319">
        <v>103574.04337350001</v>
      </c>
      <c r="Y5" s="321">
        <v>85407.15616578811</v>
      </c>
      <c r="Z5" s="319">
        <v>136428.75</v>
      </c>
      <c r="AA5" s="319">
        <v>120097.471488</v>
      </c>
      <c r="AB5" s="321">
        <v>113083.779153101</v>
      </c>
      <c r="AC5" s="426"/>
      <c r="AD5" s="319">
        <v>106431.58719130176</v>
      </c>
      <c r="AE5" s="321">
        <v>87763.486797947437</v>
      </c>
      <c r="AF5" s="319">
        <v>123553.65</v>
      </c>
      <c r="AG5" s="319">
        <v>121773.07533137816</v>
      </c>
      <c r="AH5" s="321">
        <v>114661.52773202601</v>
      </c>
      <c r="AI5" s="426"/>
      <c r="AJ5" s="319">
        <v>122768.65700064</v>
      </c>
      <c r="AK5" s="321">
        <v>101235.03456272774</v>
      </c>
      <c r="AL5" s="319">
        <v>123553.65</v>
      </c>
      <c r="AM5" s="319">
        <v>127720.60487628801</v>
      </c>
      <c r="AN5" s="321">
        <v>120261.72155151299</v>
      </c>
      <c r="AO5" s="426"/>
      <c r="AP5" s="319">
        <v>103638.55439442596</v>
      </c>
      <c r="AQ5" s="425">
        <v>85460.351953643636</v>
      </c>
      <c r="AR5" s="319">
        <v>123553.65</v>
      </c>
      <c r="AS5" s="319">
        <v>121797.91114031692</v>
      </c>
      <c r="AT5" s="321">
        <v>114684.913129722</v>
      </c>
      <c r="AU5" s="426"/>
      <c r="AV5" s="319">
        <v>101830.28381688602</v>
      </c>
      <c r="AW5" s="321">
        <v>83969.252035404206</v>
      </c>
      <c r="AX5" s="319">
        <v>123553.65</v>
      </c>
      <c r="AY5" s="319">
        <v>119513.01854176002</v>
      </c>
      <c r="AZ5" s="321">
        <v>112533.458258921</v>
      </c>
      <c r="BA5" s="426"/>
      <c r="BB5" s="313">
        <f>'[1]9 регионов'!L156</f>
        <v>101308.27555416961</v>
      </c>
      <c r="BC5" s="312">
        <v>83538.804021968259</v>
      </c>
      <c r="BD5" s="313">
        <v>139777.98749999999</v>
      </c>
      <c r="BE5" s="314">
        <v>119195.86339481598</v>
      </c>
      <c r="BF5" s="316">
        <v>112234.824972559</v>
      </c>
    </row>
    <row r="6" spans="1:58" ht="30.75" thickBot="1" x14ac:dyDescent="0.3">
      <c r="A6" s="393"/>
      <c r="B6" s="98" t="s">
        <v>279</v>
      </c>
      <c r="C6" s="98" t="s">
        <v>279</v>
      </c>
      <c r="D6" s="334"/>
      <c r="E6" s="424"/>
      <c r="F6" s="313">
        <v>99219.852900000013</v>
      </c>
      <c r="G6" s="312"/>
      <c r="H6" s="313"/>
      <c r="I6" s="319"/>
      <c r="J6" s="321"/>
      <c r="K6" s="426"/>
      <c r="L6" s="313"/>
      <c r="M6" s="312"/>
      <c r="N6" s="313"/>
      <c r="O6" s="319"/>
      <c r="P6" s="321"/>
      <c r="Q6" s="426"/>
      <c r="R6" s="324"/>
      <c r="S6" s="321"/>
      <c r="T6" s="319"/>
      <c r="U6" s="319"/>
      <c r="V6" s="321"/>
      <c r="W6" s="426"/>
      <c r="X6" s="319"/>
      <c r="Y6" s="321"/>
      <c r="Z6" s="319"/>
      <c r="AA6" s="319"/>
      <c r="AB6" s="321"/>
      <c r="AC6" s="426"/>
      <c r="AD6" s="319"/>
      <c r="AE6" s="321"/>
      <c r="AF6" s="319"/>
      <c r="AG6" s="319"/>
      <c r="AH6" s="321"/>
      <c r="AI6" s="426"/>
      <c r="AJ6" s="319"/>
      <c r="AK6" s="321"/>
      <c r="AL6" s="319"/>
      <c r="AM6" s="319"/>
      <c r="AN6" s="321"/>
      <c r="AO6" s="426"/>
      <c r="AP6" s="319"/>
      <c r="AQ6" s="425"/>
      <c r="AR6" s="319"/>
      <c r="AS6" s="319"/>
      <c r="AT6" s="321"/>
      <c r="AU6" s="426"/>
      <c r="AV6" s="319"/>
      <c r="AW6" s="321"/>
      <c r="AX6" s="319"/>
      <c r="AY6" s="319"/>
      <c r="AZ6" s="321"/>
      <c r="BA6" s="426"/>
      <c r="BB6" s="313"/>
      <c r="BC6" s="312"/>
      <c r="BD6" s="313"/>
      <c r="BE6" s="314"/>
      <c r="BF6" s="316"/>
    </row>
    <row r="7" spans="1:58" ht="15.75" thickBot="1" x14ac:dyDescent="0.3">
      <c r="A7" s="372"/>
      <c r="B7" s="99"/>
      <c r="C7" s="99"/>
      <c r="D7" s="335"/>
      <c r="E7" s="424"/>
      <c r="F7" s="313">
        <v>99219.852900000013</v>
      </c>
      <c r="G7" s="312"/>
      <c r="H7" s="313"/>
      <c r="I7" s="319"/>
      <c r="J7" s="321"/>
      <c r="K7" s="426"/>
      <c r="L7" s="313"/>
      <c r="M7" s="312"/>
      <c r="N7" s="313"/>
      <c r="O7" s="319"/>
      <c r="P7" s="321"/>
      <c r="Q7" s="426"/>
      <c r="R7" s="324"/>
      <c r="S7" s="321"/>
      <c r="T7" s="319"/>
      <c r="U7" s="319"/>
      <c r="V7" s="321"/>
      <c r="W7" s="426"/>
      <c r="X7" s="319"/>
      <c r="Y7" s="321"/>
      <c r="Z7" s="319"/>
      <c r="AA7" s="319"/>
      <c r="AB7" s="321"/>
      <c r="AC7" s="426"/>
      <c r="AD7" s="319"/>
      <c r="AE7" s="321"/>
      <c r="AF7" s="319"/>
      <c r="AG7" s="319"/>
      <c r="AH7" s="321"/>
      <c r="AI7" s="426"/>
      <c r="AJ7" s="319"/>
      <c r="AK7" s="321"/>
      <c r="AL7" s="319"/>
      <c r="AM7" s="319"/>
      <c r="AN7" s="321"/>
      <c r="AO7" s="426"/>
      <c r="AP7" s="319"/>
      <c r="AQ7" s="425"/>
      <c r="AR7" s="319"/>
      <c r="AS7" s="319"/>
      <c r="AT7" s="321"/>
      <c r="AU7" s="426"/>
      <c r="AV7" s="319"/>
      <c r="AW7" s="321"/>
      <c r="AX7" s="319"/>
      <c r="AY7" s="319"/>
      <c r="AZ7" s="321"/>
      <c r="BA7" s="426"/>
      <c r="BB7" s="313"/>
      <c r="BC7" s="312"/>
      <c r="BD7" s="313"/>
      <c r="BE7" s="314"/>
      <c r="BF7" s="316"/>
    </row>
    <row r="8" spans="1:58" ht="15" customHeight="1" thickBot="1" x14ac:dyDescent="0.3">
      <c r="A8" s="428" t="s">
        <v>291</v>
      </c>
      <c r="B8" s="120" t="s">
        <v>23</v>
      </c>
      <c r="C8" s="120" t="s">
        <v>36</v>
      </c>
      <c r="D8" s="430" t="s">
        <v>132</v>
      </c>
      <c r="E8" s="432" t="s">
        <v>278</v>
      </c>
      <c r="F8" s="313">
        <v>199143.3927</v>
      </c>
      <c r="G8" s="312" t="s">
        <v>294</v>
      </c>
      <c r="H8" s="314">
        <f>8592.74*22.5</f>
        <v>193336.65</v>
      </c>
      <c r="I8" s="313">
        <v>195741.07800000001</v>
      </c>
      <c r="J8" s="312">
        <v>189242.47421040002</v>
      </c>
      <c r="K8" s="426"/>
      <c r="L8" s="313">
        <v>206582.37</v>
      </c>
      <c r="M8" s="312">
        <v>191729.1</v>
      </c>
      <c r="N8" s="314">
        <f>9248.98*22.5</f>
        <v>208102.05</v>
      </c>
      <c r="O8" s="322">
        <v>200396.064012066</v>
      </c>
      <c r="P8" s="312">
        <v>193742.91468686541</v>
      </c>
      <c r="Q8" s="426"/>
      <c r="R8" s="324">
        <v>210443.30238576166</v>
      </c>
      <c r="S8" s="313">
        <v>195312.42894422539</v>
      </c>
      <c r="T8" s="314">
        <f>8610*22.5</f>
        <v>193725</v>
      </c>
      <c r="U8" s="313">
        <v>202885.28859182884</v>
      </c>
      <c r="V8" s="313">
        <v>196149.49701058012</v>
      </c>
      <c r="W8" s="426"/>
      <c r="X8" s="313">
        <v>202729.65</v>
      </c>
      <c r="Y8" s="312">
        <v>188153.59</v>
      </c>
      <c r="Z8" s="314">
        <f>8731.4*22.5</f>
        <v>196456.5</v>
      </c>
      <c r="AA8" s="313">
        <v>197370.61113600002</v>
      </c>
      <c r="AB8" s="312">
        <v>190817.90684628481</v>
      </c>
      <c r="AC8" s="426"/>
      <c r="AD8" s="313">
        <v>205076.68</v>
      </c>
      <c r="AE8" s="312">
        <v>190331.67</v>
      </c>
      <c r="AF8" s="314">
        <f>8614.91*22.5</f>
        <v>193835.47500000001</v>
      </c>
      <c r="AG8" s="313">
        <v>199321.49548563667</v>
      </c>
      <c r="AH8" s="312">
        <v>192704.02183551353</v>
      </c>
      <c r="AI8" s="426"/>
      <c r="AJ8" s="313">
        <v>218537</v>
      </c>
      <c r="AK8" s="313">
        <v>202824.19</v>
      </c>
      <c r="AL8" s="314">
        <f>8541.35*22.5</f>
        <v>192180.375</v>
      </c>
      <c r="AM8" s="313">
        <v>204540.68189673603</v>
      </c>
      <c r="AN8" s="317">
        <v>197749.9312577644</v>
      </c>
      <c r="AO8" s="426"/>
      <c r="AP8" s="313">
        <v>203365.91</v>
      </c>
      <c r="AQ8" s="312">
        <v>188743.91</v>
      </c>
      <c r="AR8" s="314">
        <f>8575.93*22.5</f>
        <v>192958.42500000002</v>
      </c>
      <c r="AS8" s="313">
        <v>200292.05350999284</v>
      </c>
      <c r="AT8" s="313">
        <v>193642.35733346108</v>
      </c>
      <c r="AU8" s="426"/>
      <c r="AV8" s="313">
        <v>201291.07</v>
      </c>
      <c r="AW8" s="312">
        <v>186818.24</v>
      </c>
      <c r="AX8" s="314">
        <f>8545.96*22.5</f>
        <v>192284.09999999998</v>
      </c>
      <c r="AY8" s="313">
        <v>196896.72577422002</v>
      </c>
      <c r="AZ8" s="312">
        <v>190359.75447851591</v>
      </c>
      <c r="BA8" s="426"/>
      <c r="BB8" s="313">
        <v>200861.68752473284</v>
      </c>
      <c r="BC8" s="312">
        <v>186419.73</v>
      </c>
      <c r="BD8" s="314">
        <f>8598.61*22.5</f>
        <v>193468.72500000001</v>
      </c>
      <c r="BE8" s="313">
        <v>196520.91045475201</v>
      </c>
      <c r="BF8" s="312">
        <v>189996.41622765423</v>
      </c>
    </row>
    <row r="9" spans="1:58" ht="30.75" thickBot="1" x14ac:dyDescent="0.3">
      <c r="A9" s="429"/>
      <c r="B9" s="121" t="s">
        <v>295</v>
      </c>
      <c r="C9" s="121" t="s">
        <v>295</v>
      </c>
      <c r="D9" s="431"/>
      <c r="E9" s="432"/>
      <c r="F9" s="313"/>
      <c r="G9" s="312"/>
      <c r="H9" s="314"/>
      <c r="I9" s="313"/>
      <c r="J9" s="312"/>
      <c r="K9" s="426"/>
      <c r="L9" s="313"/>
      <c r="M9" s="312"/>
      <c r="N9" s="314"/>
      <c r="O9" s="322"/>
      <c r="P9" s="312"/>
      <c r="Q9" s="426"/>
      <c r="R9" s="324"/>
      <c r="S9" s="313"/>
      <c r="T9" s="314"/>
      <c r="U9" s="313"/>
      <c r="V9" s="313"/>
      <c r="W9" s="426"/>
      <c r="X9" s="313"/>
      <c r="Y9" s="312"/>
      <c r="Z9" s="314"/>
      <c r="AA9" s="313"/>
      <c r="AB9" s="312"/>
      <c r="AC9" s="426"/>
      <c r="AD9" s="313"/>
      <c r="AE9" s="312"/>
      <c r="AF9" s="314"/>
      <c r="AG9" s="313"/>
      <c r="AH9" s="312"/>
      <c r="AI9" s="426"/>
      <c r="AJ9" s="313"/>
      <c r="AK9" s="313"/>
      <c r="AL9" s="314"/>
      <c r="AM9" s="313"/>
      <c r="AN9" s="317"/>
      <c r="AO9" s="426"/>
      <c r="AP9" s="313"/>
      <c r="AQ9" s="312"/>
      <c r="AR9" s="314"/>
      <c r="AS9" s="313"/>
      <c r="AT9" s="313"/>
      <c r="AU9" s="426"/>
      <c r="AV9" s="313"/>
      <c r="AW9" s="312"/>
      <c r="AX9" s="314"/>
      <c r="AY9" s="313"/>
      <c r="AZ9" s="312"/>
      <c r="BA9" s="426"/>
      <c r="BB9" s="313"/>
      <c r="BC9" s="312"/>
      <c r="BD9" s="314"/>
      <c r="BE9" s="313"/>
      <c r="BF9" s="312"/>
    </row>
    <row r="10" spans="1:58" ht="15" customHeight="1" thickBot="1" x14ac:dyDescent="0.3">
      <c r="A10" s="433" t="s">
        <v>291</v>
      </c>
      <c r="B10" s="120" t="s">
        <v>23</v>
      </c>
      <c r="C10" s="120" t="s">
        <v>36</v>
      </c>
      <c r="D10" s="435" t="s">
        <v>135</v>
      </c>
      <c r="E10" s="432" t="s">
        <v>278</v>
      </c>
      <c r="F10" s="313">
        <v>199143.3927</v>
      </c>
      <c r="G10" s="312" t="s">
        <v>294</v>
      </c>
      <c r="H10" s="314">
        <f>8592.74*24</f>
        <v>206225.76</v>
      </c>
      <c r="I10" s="313">
        <v>195741.07800000001</v>
      </c>
      <c r="J10" s="312">
        <v>189242.47421040002</v>
      </c>
      <c r="K10" s="426"/>
      <c r="L10" s="313">
        <v>206582.37</v>
      </c>
      <c r="M10" s="312">
        <v>191729.1</v>
      </c>
      <c r="N10" s="314">
        <f>9248.98*24</f>
        <v>221975.52</v>
      </c>
      <c r="O10" s="322">
        <v>200396.064012066</v>
      </c>
      <c r="P10" s="312">
        <v>193742.91468686541</v>
      </c>
      <c r="Q10" s="426"/>
      <c r="R10" s="324">
        <v>210443.30238576166</v>
      </c>
      <c r="S10" s="312">
        <v>195312.42894422539</v>
      </c>
      <c r="T10" s="314">
        <f>8610*24</f>
        <v>206640</v>
      </c>
      <c r="U10" s="313">
        <v>202885.28859182884</v>
      </c>
      <c r="V10" s="312">
        <v>196149.49701058012</v>
      </c>
      <c r="W10" s="426"/>
      <c r="X10" s="313">
        <v>202729.65</v>
      </c>
      <c r="Y10" s="312">
        <v>188153.59</v>
      </c>
      <c r="Z10" s="314">
        <f>8731.4*24</f>
        <v>209553.59999999998</v>
      </c>
      <c r="AA10" s="313">
        <v>197370.61113600002</v>
      </c>
      <c r="AB10" s="312">
        <v>190817.90684628481</v>
      </c>
      <c r="AC10" s="426"/>
      <c r="AD10" s="313">
        <v>205076.68</v>
      </c>
      <c r="AE10" s="312">
        <v>190331.67</v>
      </c>
      <c r="AF10" s="314">
        <f>8614.91*24</f>
        <v>206757.84</v>
      </c>
      <c r="AG10" s="313">
        <v>199321.49548563667</v>
      </c>
      <c r="AH10" s="312">
        <v>192704.02183551353</v>
      </c>
      <c r="AI10" s="426"/>
      <c r="AJ10" s="313">
        <v>218537</v>
      </c>
      <c r="AK10" s="312">
        <v>202824.19</v>
      </c>
      <c r="AL10" s="314">
        <f>8541.35*24</f>
        <v>204992.40000000002</v>
      </c>
      <c r="AM10" s="313">
        <v>204540.68189673603</v>
      </c>
      <c r="AN10" s="312">
        <v>197749.9312577644</v>
      </c>
      <c r="AO10" s="426"/>
      <c r="AP10" s="313">
        <v>203365.91</v>
      </c>
      <c r="AQ10" s="312">
        <v>188743.91</v>
      </c>
      <c r="AR10" s="314">
        <f>8575.93*24</f>
        <v>205822.32</v>
      </c>
      <c r="AS10" s="313">
        <v>200292.05350999284</v>
      </c>
      <c r="AT10" s="312">
        <v>193642.35733346108</v>
      </c>
      <c r="AU10" s="426"/>
      <c r="AV10" s="313">
        <v>201291.07</v>
      </c>
      <c r="AW10" s="312">
        <v>186818.24</v>
      </c>
      <c r="AX10" s="314">
        <f>8545.96*24</f>
        <v>205103.03999999998</v>
      </c>
      <c r="AY10" s="313">
        <v>196896.72577422002</v>
      </c>
      <c r="AZ10" s="312">
        <v>190359.75447851591</v>
      </c>
      <c r="BA10" s="426"/>
      <c r="BB10" s="313">
        <v>200861.68752473284</v>
      </c>
      <c r="BC10" s="312">
        <v>186419.73</v>
      </c>
      <c r="BD10" s="314">
        <f>8598.61*24</f>
        <v>206366.64</v>
      </c>
      <c r="BE10" s="313">
        <v>196520.91045475201</v>
      </c>
      <c r="BF10" s="312">
        <v>189996.41622765423</v>
      </c>
    </row>
    <row r="11" spans="1:58" ht="30.75" thickBot="1" x14ac:dyDescent="0.3">
      <c r="A11" s="434"/>
      <c r="B11" s="146" t="s">
        <v>301</v>
      </c>
      <c r="C11" s="123" t="s">
        <v>301</v>
      </c>
      <c r="D11" s="436"/>
      <c r="E11" s="432"/>
      <c r="F11" s="313"/>
      <c r="G11" s="312"/>
      <c r="H11" s="314"/>
      <c r="I11" s="313"/>
      <c r="J11" s="312"/>
      <c r="K11" s="426"/>
      <c r="L11" s="313"/>
      <c r="M11" s="312"/>
      <c r="N11" s="314"/>
      <c r="O11" s="322"/>
      <c r="P11" s="312"/>
      <c r="Q11" s="426"/>
      <c r="R11" s="324"/>
      <c r="S11" s="312"/>
      <c r="T11" s="314"/>
      <c r="U11" s="313"/>
      <c r="V11" s="312"/>
      <c r="W11" s="426"/>
      <c r="X11" s="313"/>
      <c r="Y11" s="312"/>
      <c r="Z11" s="314"/>
      <c r="AA11" s="313"/>
      <c r="AB11" s="312"/>
      <c r="AC11" s="426"/>
      <c r="AD11" s="313"/>
      <c r="AE11" s="312"/>
      <c r="AF11" s="314"/>
      <c r="AG11" s="313"/>
      <c r="AH11" s="312"/>
      <c r="AI11" s="426"/>
      <c r="AJ11" s="313"/>
      <c r="AK11" s="312"/>
      <c r="AL11" s="314"/>
      <c r="AM11" s="313"/>
      <c r="AN11" s="312"/>
      <c r="AO11" s="426"/>
      <c r="AP11" s="313"/>
      <c r="AQ11" s="312"/>
      <c r="AR11" s="314"/>
      <c r="AS11" s="313"/>
      <c r="AT11" s="312"/>
      <c r="AU11" s="426"/>
      <c r="AV11" s="313"/>
      <c r="AW11" s="312"/>
      <c r="AX11" s="314"/>
      <c r="AY11" s="313"/>
      <c r="AZ11" s="312"/>
      <c r="BA11" s="426"/>
      <c r="BB11" s="313"/>
      <c r="BC11" s="312"/>
      <c r="BD11" s="314"/>
      <c r="BE11" s="313"/>
      <c r="BF11" s="312"/>
    </row>
    <row r="12" spans="1:58" ht="14.45" customHeight="1" thickBot="1" x14ac:dyDescent="0.3">
      <c r="A12" s="371" t="s">
        <v>280</v>
      </c>
      <c r="B12" s="97" t="s">
        <v>281</v>
      </c>
      <c r="C12" s="24" t="s">
        <v>39</v>
      </c>
      <c r="D12" s="358" t="s">
        <v>144</v>
      </c>
      <c r="E12" s="424" t="s">
        <v>278</v>
      </c>
      <c r="F12" s="313">
        <v>419631.9547</v>
      </c>
      <c r="G12" s="312">
        <v>409392.93500532</v>
      </c>
      <c r="H12" s="313">
        <v>412451.52</v>
      </c>
      <c r="I12" s="319">
        <v>417192.88</v>
      </c>
      <c r="J12" s="321">
        <v>412228.284728</v>
      </c>
      <c r="K12" s="426"/>
      <c r="L12" s="313">
        <v>428247.92353028402</v>
      </c>
      <c r="M12" s="312">
        <v>417798.67419614509</v>
      </c>
      <c r="N12" s="313">
        <v>443951.04</v>
      </c>
      <c r="O12" s="319">
        <v>423966.72526962002</v>
      </c>
      <c r="P12" s="321">
        <v>418921.52123891155</v>
      </c>
      <c r="Q12" s="426"/>
      <c r="R12" s="324">
        <v>427712.22435307299</v>
      </c>
      <c r="S12" s="319">
        <v>417276.04607885802</v>
      </c>
      <c r="T12" s="319">
        <v>413280</v>
      </c>
      <c r="U12" s="319">
        <v>425275.1250107176</v>
      </c>
      <c r="V12" s="319">
        <v>420214.35102309007</v>
      </c>
      <c r="W12" s="426"/>
      <c r="X12" s="319">
        <v>422205.56895300001</v>
      </c>
      <c r="Y12" s="321">
        <v>411903.75307054678</v>
      </c>
      <c r="Z12" s="319">
        <v>419107.19999999995</v>
      </c>
      <c r="AA12" s="319">
        <v>418444.37952000002</v>
      </c>
      <c r="AB12" s="321">
        <v>413464.89140371204</v>
      </c>
      <c r="AC12" s="426"/>
      <c r="AD12" s="319">
        <v>423874.46233470849</v>
      </c>
      <c r="AE12" s="319">
        <v>413531.92545374157</v>
      </c>
      <c r="AF12" s="319">
        <v>413515.68</v>
      </c>
      <c r="AG12" s="319">
        <v>421125.09264016704</v>
      </c>
      <c r="AH12" s="319">
        <v>416113.70403774903</v>
      </c>
      <c r="AI12" s="426"/>
      <c r="AJ12" s="319">
        <v>433544.77956672007</v>
      </c>
      <c r="AK12" s="319">
        <v>422966.28694529209</v>
      </c>
      <c r="AL12" s="319">
        <v>409984.80000000005</v>
      </c>
      <c r="AM12" s="319">
        <v>423932.97557151993</v>
      </c>
      <c r="AN12" s="319">
        <v>418888.17316221882</v>
      </c>
      <c r="AO12" s="426"/>
      <c r="AP12" s="319">
        <v>424036.39017445332</v>
      </c>
      <c r="AQ12" s="319">
        <v>413689.90225419664</v>
      </c>
      <c r="AR12" s="319">
        <v>411644.64</v>
      </c>
      <c r="AS12" s="319">
        <v>424868.16245129704</v>
      </c>
      <c r="AT12" s="319">
        <v>419812.23131812661</v>
      </c>
      <c r="AU12" s="426"/>
      <c r="AV12" s="319">
        <v>421167.62809942808</v>
      </c>
      <c r="AW12" s="319">
        <v>410891.13797380205</v>
      </c>
      <c r="AX12" s="319">
        <v>410206.07999999996</v>
      </c>
      <c r="AY12" s="319">
        <v>418321.81394539995</v>
      </c>
      <c r="AZ12" s="319">
        <v>413343.7843594497</v>
      </c>
      <c r="BA12" s="426"/>
      <c r="BB12" s="313">
        <f>'[1]9 регионов'!L159</f>
        <v>420860.81648718088</v>
      </c>
      <c r="BC12" s="312">
        <v>410591.81256489368</v>
      </c>
      <c r="BD12" s="313">
        <v>412733.28</v>
      </c>
      <c r="BE12" s="314">
        <v>417788.63143264002</v>
      </c>
      <c r="BF12" s="314">
        <v>412816.94671859161</v>
      </c>
    </row>
    <row r="13" spans="1:58" ht="30.75" thickBot="1" x14ac:dyDescent="0.3">
      <c r="A13" s="372"/>
      <c r="B13" s="99" t="s">
        <v>282</v>
      </c>
      <c r="C13" s="99" t="s">
        <v>282</v>
      </c>
      <c r="D13" s="335"/>
      <c r="E13" s="424"/>
      <c r="F13" s="313"/>
      <c r="G13" s="312"/>
      <c r="H13" s="313"/>
      <c r="I13" s="319"/>
      <c r="J13" s="321"/>
      <c r="K13" s="426"/>
      <c r="L13" s="313"/>
      <c r="M13" s="312"/>
      <c r="N13" s="313"/>
      <c r="O13" s="319"/>
      <c r="P13" s="321"/>
      <c r="Q13" s="426"/>
      <c r="R13" s="324"/>
      <c r="S13" s="319"/>
      <c r="T13" s="319"/>
      <c r="U13" s="319"/>
      <c r="V13" s="319"/>
      <c r="W13" s="426"/>
      <c r="X13" s="319"/>
      <c r="Y13" s="321"/>
      <c r="Z13" s="319"/>
      <c r="AA13" s="319"/>
      <c r="AB13" s="321"/>
      <c r="AC13" s="426"/>
      <c r="AD13" s="319"/>
      <c r="AE13" s="319"/>
      <c r="AF13" s="319"/>
      <c r="AG13" s="319"/>
      <c r="AH13" s="319"/>
      <c r="AI13" s="426"/>
      <c r="AJ13" s="319"/>
      <c r="AK13" s="319"/>
      <c r="AL13" s="319"/>
      <c r="AM13" s="319"/>
      <c r="AN13" s="319"/>
      <c r="AO13" s="426"/>
      <c r="AP13" s="319"/>
      <c r="AQ13" s="319"/>
      <c r="AR13" s="319"/>
      <c r="AS13" s="319"/>
      <c r="AT13" s="319"/>
      <c r="AU13" s="426"/>
      <c r="AV13" s="319"/>
      <c r="AW13" s="319"/>
      <c r="AX13" s="319"/>
      <c r="AY13" s="319"/>
      <c r="AZ13" s="319"/>
      <c r="BA13" s="426"/>
      <c r="BB13" s="313"/>
      <c r="BC13" s="312"/>
      <c r="BD13" s="313"/>
      <c r="BE13" s="314"/>
      <c r="BF13" s="314"/>
    </row>
    <row r="14" spans="1:58" ht="14.45" customHeight="1" thickBot="1" x14ac:dyDescent="0.3">
      <c r="A14" s="428" t="s">
        <v>296</v>
      </c>
      <c r="B14" s="122" t="s">
        <v>24</v>
      </c>
      <c r="C14" s="124" t="s">
        <v>38</v>
      </c>
      <c r="D14" s="430" t="s">
        <v>141</v>
      </c>
      <c r="E14" s="432" t="s">
        <v>278</v>
      </c>
      <c r="F14" s="313">
        <v>313844.35740000004</v>
      </c>
      <c r="G14" s="312">
        <v>307912.69904514001</v>
      </c>
      <c r="H14" s="314">
        <f>42618.73*8</f>
        <v>340949.84</v>
      </c>
      <c r="I14" s="313">
        <v>336179.84399999998</v>
      </c>
      <c r="J14" s="312">
        <v>330969.05641799996</v>
      </c>
      <c r="K14" s="426"/>
      <c r="L14" s="313">
        <v>319676.94</v>
      </c>
      <c r="M14" s="312">
        <v>313635.04583399999</v>
      </c>
      <c r="N14" s="314">
        <f>42108.32*8</f>
        <v>336866.56</v>
      </c>
      <c r="O14" s="322">
        <v>342066.98185159505</v>
      </c>
      <c r="P14" s="312">
        <v>336764.9436328953</v>
      </c>
      <c r="Q14" s="426"/>
      <c r="R14" s="324">
        <v>318525.35058216605</v>
      </c>
      <c r="S14" s="312">
        <v>312505.2214561631</v>
      </c>
      <c r="T14" s="314">
        <f>42618.73*8</f>
        <v>340949.84</v>
      </c>
      <c r="U14" s="313">
        <v>343665.67713443656</v>
      </c>
      <c r="V14" s="312">
        <v>338338.8591388528</v>
      </c>
      <c r="W14" s="426"/>
      <c r="X14" s="313">
        <v>315337.62</v>
      </c>
      <c r="Y14" s="312">
        <v>309377.73898199998</v>
      </c>
      <c r="Z14" s="314">
        <f>42618.8*8</f>
        <v>340950.4</v>
      </c>
      <c r="AA14" s="313">
        <v>337490.88912000001</v>
      </c>
      <c r="AB14" s="312">
        <v>332259.78033864003</v>
      </c>
      <c r="AC14" s="426"/>
      <c r="AD14" s="313">
        <v>316302.03000000003</v>
      </c>
      <c r="AE14" s="312">
        <v>310323.92163300002</v>
      </c>
      <c r="AF14" s="314">
        <f>42440.86*8</f>
        <v>339526.88</v>
      </c>
      <c r="AG14" s="313">
        <v>339852.24517560616</v>
      </c>
      <c r="AH14" s="312">
        <v>334584.53537538426</v>
      </c>
      <c r="AI14" s="426"/>
      <c r="AJ14" s="313">
        <v>321915.69104544003</v>
      </c>
      <c r="AK14" s="312">
        <v>315831.48448468122</v>
      </c>
      <c r="AL14" s="314">
        <f>41539.46*8</f>
        <v>332315.68</v>
      </c>
      <c r="AM14" s="313">
        <v>343247.46953111998</v>
      </c>
      <c r="AN14" s="313">
        <v>337927.13375338761</v>
      </c>
      <c r="AO14" s="426"/>
      <c r="AP14" s="313">
        <v>316749.34000000003</v>
      </c>
      <c r="AQ14" s="312">
        <v>310762.777474</v>
      </c>
      <c r="AR14" s="314">
        <f>43462.95*8</f>
        <v>347703.6</v>
      </c>
      <c r="AS14" s="313">
        <v>342640.41040431976</v>
      </c>
      <c r="AT14" s="312">
        <v>337329.48404305283</v>
      </c>
      <c r="AU14" s="426"/>
      <c r="AV14" s="313">
        <v>314733.96999999997</v>
      </c>
      <c r="AW14" s="312">
        <v>308785.49796699994</v>
      </c>
      <c r="AX14" s="314">
        <f>42618.81*8</f>
        <v>340950.48</v>
      </c>
      <c r="AY14" s="313">
        <v>337271.25874365005</v>
      </c>
      <c r="AZ14" s="312">
        <v>332043.55423312349</v>
      </c>
      <c r="BA14" s="426"/>
      <c r="BB14" s="313">
        <v>314556.29050604161</v>
      </c>
      <c r="BC14" s="312">
        <v>308611.17611899995</v>
      </c>
      <c r="BD14" s="314">
        <f>41905.55*8</f>
        <v>335244.40000000002</v>
      </c>
      <c r="BE14" s="313">
        <v>336805.13850983995</v>
      </c>
      <c r="BF14" s="312">
        <v>331584.65886293742</v>
      </c>
    </row>
    <row r="15" spans="1:58" ht="30.75" thickBot="1" x14ac:dyDescent="0.3">
      <c r="A15" s="434"/>
      <c r="B15" s="146" t="s">
        <v>298</v>
      </c>
      <c r="C15" s="123" t="s">
        <v>298</v>
      </c>
      <c r="D15" s="437"/>
      <c r="E15" s="432"/>
      <c r="F15" s="313"/>
      <c r="G15" s="312"/>
      <c r="H15" s="314"/>
      <c r="I15" s="313"/>
      <c r="J15" s="312"/>
      <c r="K15" s="426"/>
      <c r="L15" s="313"/>
      <c r="M15" s="312"/>
      <c r="N15" s="314"/>
      <c r="O15" s="322"/>
      <c r="P15" s="312"/>
      <c r="Q15" s="426"/>
      <c r="R15" s="324"/>
      <c r="S15" s="312"/>
      <c r="T15" s="314"/>
      <c r="U15" s="313"/>
      <c r="V15" s="312"/>
      <c r="W15" s="426"/>
      <c r="X15" s="313"/>
      <c r="Y15" s="312"/>
      <c r="Z15" s="314"/>
      <c r="AA15" s="313"/>
      <c r="AB15" s="312"/>
      <c r="AC15" s="426"/>
      <c r="AD15" s="313"/>
      <c r="AE15" s="312"/>
      <c r="AF15" s="314"/>
      <c r="AG15" s="313"/>
      <c r="AH15" s="312"/>
      <c r="AI15" s="426"/>
      <c r="AJ15" s="313"/>
      <c r="AK15" s="312"/>
      <c r="AL15" s="314"/>
      <c r="AM15" s="313"/>
      <c r="AN15" s="313"/>
      <c r="AO15" s="426"/>
      <c r="AP15" s="313"/>
      <c r="AQ15" s="312"/>
      <c r="AR15" s="314"/>
      <c r="AS15" s="313"/>
      <c r="AT15" s="312"/>
      <c r="AU15" s="426"/>
      <c r="AV15" s="313"/>
      <c r="AW15" s="312"/>
      <c r="AX15" s="314"/>
      <c r="AY15" s="313"/>
      <c r="AZ15" s="312"/>
      <c r="BA15" s="426"/>
      <c r="BB15" s="313"/>
      <c r="BC15" s="312"/>
      <c r="BD15" s="314"/>
      <c r="BE15" s="313"/>
      <c r="BF15" s="312"/>
    </row>
    <row r="16" spans="1:58" ht="14.45" customHeight="1" thickBot="1" x14ac:dyDescent="0.3">
      <c r="A16" s="371" t="s">
        <v>283</v>
      </c>
      <c r="B16" s="97" t="s">
        <v>284</v>
      </c>
      <c r="C16" s="24" t="s">
        <v>40</v>
      </c>
      <c r="D16" s="358" t="s">
        <v>149</v>
      </c>
      <c r="E16" s="424" t="s">
        <v>278</v>
      </c>
      <c r="F16" s="313">
        <v>811116.43339999998</v>
      </c>
      <c r="G16" s="313">
        <v>805195.28343617998</v>
      </c>
      <c r="H16" s="313">
        <v>681899.68</v>
      </c>
      <c r="I16" s="323">
        <v>707530.01800000004</v>
      </c>
      <c r="J16" s="319">
        <v>702648.06087580009</v>
      </c>
      <c r="K16" s="426"/>
      <c r="L16" s="313">
        <v>822858.18591576605</v>
      </c>
      <c r="M16" s="313">
        <v>816851.32115858095</v>
      </c>
      <c r="N16" s="313">
        <v>673733.12</v>
      </c>
      <c r="O16" s="319">
        <v>717764.92451139458</v>
      </c>
      <c r="P16" s="319">
        <v>712812.346532266</v>
      </c>
      <c r="Q16" s="426"/>
      <c r="R16" s="324">
        <v>815788.70936702844</v>
      </c>
      <c r="S16" s="319">
        <v>809833.45178864908</v>
      </c>
      <c r="T16" s="319">
        <v>681899.68</v>
      </c>
      <c r="U16" s="319">
        <v>718392.64646708115</v>
      </c>
      <c r="V16" s="319">
        <v>713435.73720645835</v>
      </c>
      <c r="W16" s="426"/>
      <c r="X16" s="319">
        <v>812623.39608449989</v>
      </c>
      <c r="Y16" s="319">
        <v>806691.24529308302</v>
      </c>
      <c r="Z16" s="319">
        <v>681900.8</v>
      </c>
      <c r="AA16" s="319">
        <v>708768.03947199997</v>
      </c>
      <c r="AB16" s="319">
        <v>703877.53999964322</v>
      </c>
      <c r="AC16" s="426"/>
      <c r="AD16" s="319">
        <v>813569.11740674742</v>
      </c>
      <c r="AE16" s="319">
        <v>807630.06284967822</v>
      </c>
      <c r="AF16" s="319">
        <v>679053.76</v>
      </c>
      <c r="AG16" s="319">
        <v>712726.21814717771</v>
      </c>
      <c r="AH16" s="319">
        <v>707808.40724196215</v>
      </c>
      <c r="AI16" s="426"/>
      <c r="AJ16" s="319">
        <v>819253.48141727992</v>
      </c>
      <c r="AK16" s="319">
        <v>813272.93100293376</v>
      </c>
      <c r="AL16" s="319">
        <v>664631.36</v>
      </c>
      <c r="AM16" s="319">
        <v>714177.53142567212</v>
      </c>
      <c r="AN16" s="319">
        <v>709249.70645883493</v>
      </c>
      <c r="AO16" s="426"/>
      <c r="AP16" s="319">
        <v>816503.26657936047</v>
      </c>
      <c r="AQ16" s="319">
        <v>810542.79273333109</v>
      </c>
      <c r="AR16" s="319">
        <v>695407.2</v>
      </c>
      <c r="AS16" s="319">
        <v>719740.81955569633</v>
      </c>
      <c r="AT16" s="319">
        <v>714774.607900762</v>
      </c>
      <c r="AU16" s="426"/>
      <c r="AV16" s="319">
        <v>812004.25971592206</v>
      </c>
      <c r="AW16" s="319">
        <v>806076.62861999578</v>
      </c>
      <c r="AX16" s="319">
        <v>681900.96</v>
      </c>
      <c r="AY16" s="319">
        <v>708913.475826815</v>
      </c>
      <c r="AZ16" s="313">
        <v>704021.97284360998</v>
      </c>
      <c r="BA16" s="426"/>
      <c r="BB16" s="313">
        <f>'[1]9 регионов'!L160</f>
        <v>811827.31749857927</v>
      </c>
      <c r="BC16" s="313">
        <v>805900.97808083962</v>
      </c>
      <c r="BD16" s="313">
        <v>670488.80000000005</v>
      </c>
      <c r="BE16" s="314">
        <v>708115.85285490402</v>
      </c>
      <c r="BF16" s="314">
        <v>703229.85347020521</v>
      </c>
    </row>
    <row r="17" spans="1:58" ht="30.75" thickBot="1" x14ac:dyDescent="0.3">
      <c r="A17" s="372"/>
      <c r="B17" s="99" t="s">
        <v>285</v>
      </c>
      <c r="C17" s="99" t="s">
        <v>285</v>
      </c>
      <c r="D17" s="335"/>
      <c r="E17" s="424"/>
      <c r="F17" s="313"/>
      <c r="G17" s="313"/>
      <c r="H17" s="313"/>
      <c r="I17" s="323"/>
      <c r="J17" s="319"/>
      <c r="K17" s="426"/>
      <c r="L17" s="313"/>
      <c r="M17" s="313"/>
      <c r="N17" s="313"/>
      <c r="O17" s="319"/>
      <c r="P17" s="319"/>
      <c r="Q17" s="426"/>
      <c r="R17" s="324"/>
      <c r="S17" s="319"/>
      <c r="T17" s="319"/>
      <c r="U17" s="319"/>
      <c r="V17" s="319"/>
      <c r="W17" s="426"/>
      <c r="X17" s="319"/>
      <c r="Y17" s="319"/>
      <c r="Z17" s="319"/>
      <c r="AA17" s="319"/>
      <c r="AB17" s="319"/>
      <c r="AC17" s="426"/>
      <c r="AD17" s="319"/>
      <c r="AE17" s="319"/>
      <c r="AF17" s="319"/>
      <c r="AG17" s="319"/>
      <c r="AH17" s="319"/>
      <c r="AI17" s="426"/>
      <c r="AJ17" s="319"/>
      <c r="AK17" s="319"/>
      <c r="AL17" s="319"/>
      <c r="AM17" s="319"/>
      <c r="AN17" s="319"/>
      <c r="AO17" s="426"/>
      <c r="AP17" s="319"/>
      <c r="AQ17" s="319"/>
      <c r="AR17" s="319"/>
      <c r="AS17" s="319"/>
      <c r="AT17" s="319"/>
      <c r="AU17" s="426"/>
      <c r="AV17" s="319"/>
      <c r="AW17" s="319"/>
      <c r="AX17" s="319"/>
      <c r="AY17" s="319"/>
      <c r="AZ17" s="313"/>
      <c r="BA17" s="426"/>
      <c r="BB17" s="313"/>
      <c r="BC17" s="313"/>
      <c r="BD17" s="313"/>
      <c r="BE17" s="314"/>
      <c r="BF17" s="314"/>
    </row>
    <row r="18" spans="1:58" ht="14.45" customHeight="1" thickBot="1" x14ac:dyDescent="0.3">
      <c r="A18" s="428" t="s">
        <v>325</v>
      </c>
      <c r="B18" s="126" t="s">
        <v>27</v>
      </c>
      <c r="C18" s="127" t="s">
        <v>40</v>
      </c>
      <c r="D18" s="438" t="s">
        <v>147</v>
      </c>
      <c r="E18" s="432" t="s">
        <v>278</v>
      </c>
      <c r="F18" s="313">
        <v>811116.43339999998</v>
      </c>
      <c r="G18" s="312">
        <v>805195.28343617998</v>
      </c>
      <c r="H18" s="314">
        <f>8592.74*7.5+19079.38*45</f>
        <v>923017.65000000014</v>
      </c>
      <c r="I18" s="323">
        <v>707530.01800000004</v>
      </c>
      <c r="J18" s="321">
        <v>702648.06087580009</v>
      </c>
      <c r="K18" s="426"/>
      <c r="L18" s="313">
        <v>822858.18591576605</v>
      </c>
      <c r="M18" s="312">
        <v>816851.32115858095</v>
      </c>
      <c r="N18" s="314">
        <f>9248.98*7.5+20661.65*45</f>
        <v>999141.60000000009</v>
      </c>
      <c r="O18" s="319">
        <v>717764.92451139458</v>
      </c>
      <c r="P18" s="321">
        <v>712812.346532266</v>
      </c>
      <c r="Q18" s="426"/>
      <c r="R18" s="324">
        <v>815788.70936702844</v>
      </c>
      <c r="S18" s="321">
        <v>809833.45178864908</v>
      </c>
      <c r="T18" s="314">
        <f>8610*7.5+19135.33*45</f>
        <v>925664.85000000009</v>
      </c>
      <c r="U18" s="319">
        <v>718392.64646708115</v>
      </c>
      <c r="V18" s="321">
        <v>713435.737206458</v>
      </c>
      <c r="W18" s="426"/>
      <c r="X18" s="319">
        <v>812623.39608449989</v>
      </c>
      <c r="Y18" s="321">
        <v>806691.24529308302</v>
      </c>
      <c r="Z18" s="314">
        <f>8731.4*7.5+20947.31*45</f>
        <v>1008114.4500000001</v>
      </c>
      <c r="AA18" s="319">
        <v>708768.03947199997</v>
      </c>
      <c r="AB18" s="321">
        <v>703877.53999964299</v>
      </c>
      <c r="AC18" s="426"/>
      <c r="AD18" s="319">
        <v>813569.11740674742</v>
      </c>
      <c r="AE18" s="321">
        <v>807630.06284967822</v>
      </c>
      <c r="AF18" s="314">
        <f>8614.91*7.5+19725.14*45</f>
        <v>952243.12499999988</v>
      </c>
      <c r="AG18" s="319">
        <v>712726.21814717771</v>
      </c>
      <c r="AH18" s="321">
        <v>707808.40724196204</v>
      </c>
      <c r="AI18" s="426"/>
      <c r="AJ18" s="319">
        <v>819253.48141727992</v>
      </c>
      <c r="AK18" s="321">
        <v>813272.93100293376</v>
      </c>
      <c r="AL18" s="314">
        <f>8541.35*7.5+19821.56*45</f>
        <v>956030.32500000007</v>
      </c>
      <c r="AM18" s="319">
        <v>714177.53142567212</v>
      </c>
      <c r="AN18" s="321">
        <v>709249.70645883505</v>
      </c>
      <c r="AO18" s="426"/>
      <c r="AP18" s="319">
        <v>816503.26657936047</v>
      </c>
      <c r="AQ18" s="321">
        <v>810542.79273333109</v>
      </c>
      <c r="AR18" s="314">
        <f>8575.93*7.5+19135.33*45</f>
        <v>925409.32500000007</v>
      </c>
      <c r="AS18" s="319">
        <v>719740.81955569633</v>
      </c>
      <c r="AT18" s="321">
        <v>714774.607900762</v>
      </c>
      <c r="AU18" s="426"/>
      <c r="AV18" s="319">
        <v>812004.25971592206</v>
      </c>
      <c r="AW18" s="321">
        <v>806076.62861999578</v>
      </c>
      <c r="AX18" s="314">
        <f>8545.96*7.5+19135.33*45</f>
        <v>925184.55</v>
      </c>
      <c r="AY18" s="319">
        <v>708913.475826815</v>
      </c>
      <c r="AZ18" s="312">
        <v>704021.97284360998</v>
      </c>
      <c r="BA18" s="426"/>
      <c r="BB18" s="313">
        <v>811827.31749857927</v>
      </c>
      <c r="BC18" s="312">
        <v>805900.97808083962</v>
      </c>
      <c r="BD18" s="314">
        <f>8598.61*7.5+21048.8*45</f>
        <v>1011685.575</v>
      </c>
      <c r="BE18" s="314">
        <v>708115.85285490402</v>
      </c>
      <c r="BF18" s="316">
        <v>703229.85347020498</v>
      </c>
    </row>
    <row r="19" spans="1:58" ht="60.75" thickBot="1" x14ac:dyDescent="0.3">
      <c r="A19" s="434"/>
      <c r="B19" s="144" t="s">
        <v>148</v>
      </c>
      <c r="C19" s="123" t="s">
        <v>148</v>
      </c>
      <c r="D19" s="439"/>
      <c r="E19" s="432"/>
      <c r="F19" s="313"/>
      <c r="G19" s="312"/>
      <c r="H19" s="314"/>
      <c r="I19" s="323"/>
      <c r="J19" s="321"/>
      <c r="K19" s="426"/>
      <c r="L19" s="313"/>
      <c r="M19" s="312"/>
      <c r="N19" s="314"/>
      <c r="O19" s="319"/>
      <c r="P19" s="321"/>
      <c r="Q19" s="426"/>
      <c r="R19" s="324"/>
      <c r="S19" s="321"/>
      <c r="T19" s="314"/>
      <c r="U19" s="319"/>
      <c r="V19" s="321"/>
      <c r="W19" s="426"/>
      <c r="X19" s="319"/>
      <c r="Y19" s="321"/>
      <c r="Z19" s="314"/>
      <c r="AA19" s="319"/>
      <c r="AB19" s="321"/>
      <c r="AC19" s="426"/>
      <c r="AD19" s="319"/>
      <c r="AE19" s="321"/>
      <c r="AF19" s="314"/>
      <c r="AG19" s="319"/>
      <c r="AH19" s="321"/>
      <c r="AI19" s="426"/>
      <c r="AJ19" s="319"/>
      <c r="AK19" s="321"/>
      <c r="AL19" s="314"/>
      <c r="AM19" s="319"/>
      <c r="AN19" s="321"/>
      <c r="AO19" s="426"/>
      <c r="AP19" s="319"/>
      <c r="AQ19" s="321"/>
      <c r="AR19" s="314"/>
      <c r="AS19" s="319"/>
      <c r="AT19" s="321"/>
      <c r="AU19" s="426"/>
      <c r="AV19" s="319"/>
      <c r="AW19" s="321"/>
      <c r="AX19" s="314"/>
      <c r="AY19" s="319"/>
      <c r="AZ19" s="312"/>
      <c r="BA19" s="426"/>
      <c r="BB19" s="313"/>
      <c r="BC19" s="312"/>
      <c r="BD19" s="314"/>
      <c r="BE19" s="314"/>
      <c r="BF19" s="316"/>
    </row>
    <row r="20" spans="1:58" ht="15.75" thickBot="1" x14ac:dyDescent="0.3">
      <c r="A20" s="265"/>
      <c r="B20" s="266"/>
      <c r="C20" s="266"/>
      <c r="D20" s="266"/>
      <c r="E20" s="266"/>
      <c r="F20" s="266"/>
      <c r="G20" s="266"/>
      <c r="H20" s="266"/>
      <c r="I20" s="266"/>
      <c r="J20" s="267"/>
      <c r="K20" s="426"/>
      <c r="L20" s="293"/>
      <c r="M20" s="274"/>
      <c r="N20" s="274"/>
      <c r="O20" s="274"/>
      <c r="P20" s="295"/>
      <c r="Q20" s="426"/>
      <c r="R20" s="306"/>
      <c r="S20" s="307"/>
      <c r="T20" s="307"/>
      <c r="U20" s="307"/>
      <c r="V20" s="308"/>
      <c r="W20" s="426"/>
      <c r="X20" s="268"/>
      <c r="Y20" s="269"/>
      <c r="Z20" s="269"/>
      <c r="AA20" s="269"/>
      <c r="AB20" s="270"/>
      <c r="AC20" s="426"/>
      <c r="AD20" s="268"/>
      <c r="AE20" s="269"/>
      <c r="AF20" s="269"/>
      <c r="AG20" s="269"/>
      <c r="AH20" s="270"/>
      <c r="AI20" s="426"/>
      <c r="AJ20" s="268"/>
      <c r="AK20" s="269"/>
      <c r="AL20" s="269"/>
      <c r="AM20" s="269"/>
      <c r="AN20" s="270"/>
      <c r="AO20" s="426"/>
      <c r="AP20" s="268"/>
      <c r="AQ20" s="269"/>
      <c r="AR20" s="269"/>
      <c r="AS20" s="269"/>
      <c r="AT20" s="270"/>
      <c r="AU20" s="426"/>
      <c r="AV20" s="268"/>
      <c r="AW20" s="269"/>
      <c r="AX20" s="269"/>
      <c r="AY20" s="269"/>
      <c r="AZ20" s="270"/>
      <c r="BA20" s="426"/>
      <c r="BB20" s="293"/>
      <c r="BC20" s="274"/>
      <c r="BD20" s="274"/>
      <c r="BE20" s="274"/>
      <c r="BF20" s="295"/>
    </row>
    <row r="21" spans="1:58" ht="15.75" thickBot="1" x14ac:dyDescent="0.3">
      <c r="A21" s="403" t="s">
        <v>286</v>
      </c>
      <c r="B21" s="404"/>
      <c r="C21" s="404"/>
      <c r="D21" s="404"/>
      <c r="E21" s="404"/>
      <c r="F21" s="148"/>
      <c r="G21" s="102"/>
      <c r="H21" s="102"/>
      <c r="I21" s="95"/>
      <c r="J21" s="152"/>
      <c r="K21" s="426"/>
      <c r="L21" s="294"/>
      <c r="M21" s="276"/>
      <c r="N21" s="276"/>
      <c r="O21" s="276"/>
      <c r="P21" s="297"/>
      <c r="Q21" s="426"/>
      <c r="R21" s="309"/>
      <c r="S21" s="310"/>
      <c r="T21" s="310"/>
      <c r="U21" s="310"/>
      <c r="V21" s="311"/>
      <c r="W21" s="426"/>
      <c r="X21" s="271"/>
      <c r="Y21" s="272"/>
      <c r="Z21" s="272"/>
      <c r="AA21" s="272"/>
      <c r="AB21" s="273"/>
      <c r="AC21" s="426"/>
      <c r="AD21" s="271"/>
      <c r="AE21" s="272"/>
      <c r="AF21" s="272"/>
      <c r="AG21" s="272"/>
      <c r="AH21" s="273"/>
      <c r="AI21" s="426"/>
      <c r="AJ21" s="271"/>
      <c r="AK21" s="272"/>
      <c r="AL21" s="272"/>
      <c r="AM21" s="272"/>
      <c r="AN21" s="273"/>
      <c r="AO21" s="426"/>
      <c r="AP21" s="271"/>
      <c r="AQ21" s="272"/>
      <c r="AR21" s="272"/>
      <c r="AS21" s="272"/>
      <c r="AT21" s="273"/>
      <c r="AU21" s="426"/>
      <c r="AV21" s="271"/>
      <c r="AW21" s="272"/>
      <c r="AX21" s="272"/>
      <c r="AY21" s="272"/>
      <c r="AZ21" s="273"/>
      <c r="BA21" s="426"/>
      <c r="BB21" s="294"/>
      <c r="BC21" s="276"/>
      <c r="BD21" s="276"/>
      <c r="BE21" s="276"/>
      <c r="BF21" s="297"/>
    </row>
    <row r="22" spans="1:58" ht="14.45" customHeight="1" thickBot="1" x14ac:dyDescent="0.3">
      <c r="A22" s="371" t="s">
        <v>276</v>
      </c>
      <c r="B22" s="97" t="s">
        <v>287</v>
      </c>
      <c r="C22" s="19" t="s">
        <v>41</v>
      </c>
      <c r="D22" s="371" t="s">
        <v>129</v>
      </c>
      <c r="E22" s="373" t="s">
        <v>278</v>
      </c>
      <c r="F22" s="313">
        <v>102693.44</v>
      </c>
      <c r="G22" s="312" t="s">
        <v>288</v>
      </c>
      <c r="H22" s="313">
        <v>130757.4</v>
      </c>
      <c r="I22" s="319">
        <v>119256.86340000002</v>
      </c>
      <c r="J22" s="321">
        <v>101272.92839928</v>
      </c>
      <c r="K22" s="426"/>
      <c r="L22" s="313">
        <v>102693.2</v>
      </c>
      <c r="M22" s="312">
        <v>98831.94</v>
      </c>
      <c r="N22" s="313">
        <v>134055.67499999999</v>
      </c>
      <c r="O22" s="322">
        <v>119256.86340000002</v>
      </c>
      <c r="P22" s="321">
        <v>101272.92839928</v>
      </c>
      <c r="Q22" s="426"/>
      <c r="R22" s="324">
        <v>105740.51453784405</v>
      </c>
      <c r="S22" s="321">
        <v>101764.67119122112</v>
      </c>
      <c r="T22" s="319">
        <v>123553.65</v>
      </c>
      <c r="U22" s="319">
        <v>133575.96041678867</v>
      </c>
      <c r="V22" s="321">
        <v>113432.70558593694</v>
      </c>
      <c r="W22" s="426"/>
      <c r="X22" s="319">
        <v>102700.78</v>
      </c>
      <c r="Y22" s="321">
        <v>98839.23</v>
      </c>
      <c r="Z22" s="319">
        <v>136428.75</v>
      </c>
      <c r="AA22" s="319">
        <v>119260.12000000001</v>
      </c>
      <c r="AB22" s="321">
        <v>101275.69390400001</v>
      </c>
      <c r="AC22" s="426"/>
      <c r="AD22" s="319">
        <v>103098.48</v>
      </c>
      <c r="AE22" s="321">
        <v>99221.98</v>
      </c>
      <c r="AF22" s="319">
        <v>123553.65</v>
      </c>
      <c r="AG22" s="319">
        <v>121145.1765750756</v>
      </c>
      <c r="AH22" s="321">
        <v>102876.4839475542</v>
      </c>
      <c r="AI22" s="426"/>
      <c r="AJ22" s="319">
        <v>107498.81</v>
      </c>
      <c r="AK22" s="321">
        <v>103456.85</v>
      </c>
      <c r="AL22" s="319">
        <v>123553.65</v>
      </c>
      <c r="AM22" s="319">
        <v>131489.52974528002</v>
      </c>
      <c r="AN22" s="321">
        <v>111660.90865969179</v>
      </c>
      <c r="AO22" s="426"/>
      <c r="AP22" s="319">
        <v>103098.56</v>
      </c>
      <c r="AQ22" s="321">
        <v>99222.05</v>
      </c>
      <c r="AR22" s="319">
        <v>123553.65</v>
      </c>
      <c r="AS22" s="319">
        <v>121145.26363204939</v>
      </c>
      <c r="AT22" s="321">
        <v>102876.55787633634</v>
      </c>
      <c r="AU22" s="426"/>
      <c r="AV22" s="319">
        <v>103852.21</v>
      </c>
      <c r="AW22" s="321">
        <v>99947.37</v>
      </c>
      <c r="AX22" s="319">
        <v>123553.65</v>
      </c>
      <c r="AY22" s="319">
        <v>122015.45006977199</v>
      </c>
      <c r="AZ22" s="321">
        <v>103615.52019925037</v>
      </c>
      <c r="BA22" s="426"/>
      <c r="BB22" s="313">
        <v>104107.79</v>
      </c>
      <c r="BC22" s="312">
        <v>100193.34</v>
      </c>
      <c r="BD22" s="313">
        <v>139777.98749999999</v>
      </c>
      <c r="BE22" s="314">
        <v>119256.86340000002</v>
      </c>
      <c r="BF22" s="316">
        <v>101272.92839928</v>
      </c>
    </row>
    <row r="23" spans="1:58" ht="30.75" thickBot="1" x14ac:dyDescent="0.3">
      <c r="A23" s="372"/>
      <c r="B23" s="99" t="s">
        <v>279</v>
      </c>
      <c r="C23" s="98" t="s">
        <v>279</v>
      </c>
      <c r="D23" s="372"/>
      <c r="E23" s="374"/>
      <c r="F23" s="313"/>
      <c r="G23" s="312"/>
      <c r="H23" s="313"/>
      <c r="I23" s="319"/>
      <c r="J23" s="321"/>
      <c r="K23" s="426"/>
      <c r="L23" s="313"/>
      <c r="M23" s="312"/>
      <c r="N23" s="313"/>
      <c r="O23" s="322"/>
      <c r="P23" s="321"/>
      <c r="Q23" s="426"/>
      <c r="R23" s="324"/>
      <c r="S23" s="321"/>
      <c r="T23" s="319"/>
      <c r="U23" s="319"/>
      <c r="V23" s="321"/>
      <c r="W23" s="426"/>
      <c r="X23" s="319"/>
      <c r="Y23" s="321"/>
      <c r="Z23" s="319"/>
      <c r="AA23" s="319"/>
      <c r="AB23" s="321"/>
      <c r="AC23" s="426"/>
      <c r="AD23" s="319"/>
      <c r="AE23" s="321"/>
      <c r="AF23" s="319"/>
      <c r="AG23" s="319"/>
      <c r="AH23" s="321"/>
      <c r="AI23" s="426"/>
      <c r="AJ23" s="319"/>
      <c r="AK23" s="321"/>
      <c r="AL23" s="319"/>
      <c r="AM23" s="319"/>
      <c r="AN23" s="321"/>
      <c r="AO23" s="426"/>
      <c r="AP23" s="319"/>
      <c r="AQ23" s="321"/>
      <c r="AR23" s="319"/>
      <c r="AS23" s="319"/>
      <c r="AT23" s="321"/>
      <c r="AU23" s="426"/>
      <c r="AV23" s="319"/>
      <c r="AW23" s="321"/>
      <c r="AX23" s="319"/>
      <c r="AY23" s="319"/>
      <c r="AZ23" s="321"/>
      <c r="BA23" s="426"/>
      <c r="BB23" s="313"/>
      <c r="BC23" s="312"/>
      <c r="BD23" s="313"/>
      <c r="BE23" s="314"/>
      <c r="BF23" s="316"/>
    </row>
    <row r="24" spans="1:58" ht="14.45" customHeight="1" thickBot="1" x14ac:dyDescent="0.3">
      <c r="A24" s="349" t="s">
        <v>291</v>
      </c>
      <c r="B24" s="142" t="s">
        <v>30</v>
      </c>
      <c r="C24" s="142" t="s">
        <v>43</v>
      </c>
      <c r="D24" s="351" t="s">
        <v>132</v>
      </c>
      <c r="E24" s="353" t="s">
        <v>278</v>
      </c>
      <c r="F24" s="313">
        <v>202729.86</v>
      </c>
      <c r="G24" s="313">
        <v>201858.12</v>
      </c>
      <c r="H24" s="314">
        <f>8592.74*22.5</f>
        <v>193336.65</v>
      </c>
      <c r="I24" s="322">
        <v>187860.87000000002</v>
      </c>
      <c r="J24" s="312">
        <v>169093.56908700001</v>
      </c>
      <c r="K24" s="426"/>
      <c r="L24" s="313">
        <v>202729.41</v>
      </c>
      <c r="M24" s="312">
        <v>201857.67</v>
      </c>
      <c r="N24" s="314">
        <f>9248.98*22.5</f>
        <v>208102.05</v>
      </c>
      <c r="O24" s="322">
        <v>187860.87000000002</v>
      </c>
      <c r="P24" s="312">
        <v>169093.56908700001</v>
      </c>
      <c r="Q24" s="426"/>
      <c r="R24" s="322">
        <v>203417.37960031055</v>
      </c>
      <c r="S24" s="313">
        <v>202542.68486802923</v>
      </c>
      <c r="T24" s="314">
        <f>8610*22.5</f>
        <v>193725</v>
      </c>
      <c r="U24" s="313">
        <v>202803.8322007845</v>
      </c>
      <c r="V24" s="312">
        <v>182543.72936392613</v>
      </c>
      <c r="W24" s="426"/>
      <c r="X24" s="313">
        <v>202744.36</v>
      </c>
      <c r="Y24" s="313">
        <v>201872.56</v>
      </c>
      <c r="Z24" s="314">
        <f>8731.4*22.5</f>
        <v>196456.5</v>
      </c>
      <c r="AA24" s="313">
        <v>187866</v>
      </c>
      <c r="AB24" s="312">
        <v>169098.18660000002</v>
      </c>
      <c r="AC24" s="426"/>
      <c r="AD24" s="313">
        <v>202820.63</v>
      </c>
      <c r="AE24" s="313">
        <v>201948.5</v>
      </c>
      <c r="AF24" s="314">
        <f>8614.91*22.5</f>
        <v>193835.47500000001</v>
      </c>
      <c r="AG24" s="313">
        <v>189831.43659586503</v>
      </c>
      <c r="AH24" s="312">
        <v>170867.27607993811</v>
      </c>
      <c r="AI24" s="426"/>
      <c r="AJ24" s="313">
        <v>207530.65</v>
      </c>
      <c r="AK24" s="313">
        <v>206638.27</v>
      </c>
      <c r="AL24" s="314">
        <f>8541.35*22.5</f>
        <v>192180.375</v>
      </c>
      <c r="AM24" s="313">
        <v>200628.11311200002</v>
      </c>
      <c r="AN24" s="312">
        <v>180585.36461211121</v>
      </c>
      <c r="AO24" s="426"/>
      <c r="AP24" s="313">
        <v>202820.78</v>
      </c>
      <c r="AQ24" s="313">
        <v>201948.66</v>
      </c>
      <c r="AR24" s="314">
        <f>8575.93*22.5</f>
        <v>192958.42500000002</v>
      </c>
      <c r="AS24" s="313">
        <v>189831.57301194748</v>
      </c>
      <c r="AT24" s="312">
        <v>170867.39886805392</v>
      </c>
      <c r="AU24" s="426"/>
      <c r="AV24" s="313">
        <v>202992.15</v>
      </c>
      <c r="AW24" s="313">
        <v>202119.28</v>
      </c>
      <c r="AX24" s="314">
        <f>8545.96*22.5</f>
        <v>192284.09999999998</v>
      </c>
      <c r="AY24" s="313">
        <v>190771.33312754999</v>
      </c>
      <c r="AZ24" s="312">
        <v>171713.27694810776</v>
      </c>
      <c r="BA24" s="426"/>
      <c r="BB24" s="313">
        <v>205521.99</v>
      </c>
      <c r="BC24" s="313">
        <v>204638.24</v>
      </c>
      <c r="BD24" s="314">
        <f>8598.61*22.5</f>
        <v>193468.72500000001</v>
      </c>
      <c r="BE24" s="313">
        <v>187860.87000000002</v>
      </c>
      <c r="BF24" s="312">
        <v>169093.56908700001</v>
      </c>
    </row>
    <row r="25" spans="1:58" ht="30.75" thickBot="1" x14ac:dyDescent="0.3">
      <c r="A25" s="361"/>
      <c r="B25" s="147" t="s">
        <v>295</v>
      </c>
      <c r="C25" s="128" t="s">
        <v>295</v>
      </c>
      <c r="D25" s="362"/>
      <c r="E25" s="363"/>
      <c r="F25" s="313"/>
      <c r="G25" s="313"/>
      <c r="H25" s="314"/>
      <c r="I25" s="322"/>
      <c r="J25" s="312"/>
      <c r="K25" s="426"/>
      <c r="L25" s="313"/>
      <c r="M25" s="312"/>
      <c r="N25" s="314"/>
      <c r="O25" s="322"/>
      <c r="P25" s="312"/>
      <c r="Q25" s="426"/>
      <c r="R25" s="322"/>
      <c r="S25" s="313"/>
      <c r="T25" s="314"/>
      <c r="U25" s="313"/>
      <c r="V25" s="312"/>
      <c r="W25" s="426"/>
      <c r="X25" s="313"/>
      <c r="Y25" s="313"/>
      <c r="Z25" s="314"/>
      <c r="AA25" s="313"/>
      <c r="AB25" s="312"/>
      <c r="AC25" s="426"/>
      <c r="AD25" s="313"/>
      <c r="AE25" s="313"/>
      <c r="AF25" s="314"/>
      <c r="AG25" s="313"/>
      <c r="AH25" s="312"/>
      <c r="AI25" s="426"/>
      <c r="AJ25" s="313"/>
      <c r="AK25" s="313"/>
      <c r="AL25" s="314"/>
      <c r="AM25" s="313"/>
      <c r="AN25" s="312"/>
      <c r="AO25" s="426"/>
      <c r="AP25" s="313"/>
      <c r="AQ25" s="313"/>
      <c r="AR25" s="314"/>
      <c r="AS25" s="313"/>
      <c r="AT25" s="312"/>
      <c r="AU25" s="426"/>
      <c r="AV25" s="313"/>
      <c r="AW25" s="313"/>
      <c r="AX25" s="314"/>
      <c r="AY25" s="313"/>
      <c r="AZ25" s="312"/>
      <c r="BA25" s="426"/>
      <c r="BB25" s="313"/>
      <c r="BC25" s="313"/>
      <c r="BD25" s="314"/>
      <c r="BE25" s="313"/>
      <c r="BF25" s="312"/>
    </row>
    <row r="26" spans="1:58" ht="14.45" customHeight="1" thickBot="1" x14ac:dyDescent="0.3">
      <c r="A26" s="364" t="s">
        <v>291</v>
      </c>
      <c r="B26" s="142" t="s">
        <v>30</v>
      </c>
      <c r="C26" s="142" t="s">
        <v>44</v>
      </c>
      <c r="D26" s="365" t="s">
        <v>135</v>
      </c>
      <c r="E26" s="367" t="s">
        <v>278</v>
      </c>
      <c r="F26" s="313">
        <v>202729.86</v>
      </c>
      <c r="G26" s="312">
        <v>201858.12</v>
      </c>
      <c r="H26" s="314">
        <f>8592.74*24</f>
        <v>206225.76</v>
      </c>
      <c r="I26" s="313">
        <v>223067.38860000003</v>
      </c>
      <c r="J26" s="312">
        <v>204128.96730786003</v>
      </c>
      <c r="K26" s="426"/>
      <c r="L26" s="313">
        <v>202729.41</v>
      </c>
      <c r="M26" s="312">
        <v>201857.67</v>
      </c>
      <c r="N26" s="314">
        <f>9248.98*24</f>
        <v>221975.52</v>
      </c>
      <c r="O26" s="322">
        <v>223067.38860000003</v>
      </c>
      <c r="P26" s="312">
        <v>204128.96730786003</v>
      </c>
      <c r="Q26" s="426"/>
      <c r="R26" s="322">
        <v>203417.37960031055</v>
      </c>
      <c r="S26" s="312">
        <v>202542.68486802923</v>
      </c>
      <c r="T26" s="314">
        <f>8610*24</f>
        <v>206640</v>
      </c>
      <c r="U26" s="313">
        <v>238146.67304038192</v>
      </c>
      <c r="V26" s="313">
        <v>217928.0204992535</v>
      </c>
      <c r="W26" s="426"/>
      <c r="X26" s="313">
        <v>202744.36</v>
      </c>
      <c r="Y26" s="312">
        <v>201872.56</v>
      </c>
      <c r="Z26" s="314">
        <f>8731.4*24</f>
        <v>209553.59999999998</v>
      </c>
      <c r="AA26" s="313">
        <v>223073.48</v>
      </c>
      <c r="AB26" s="312">
        <v>204134.54154800001</v>
      </c>
      <c r="AC26" s="426"/>
      <c r="AD26" s="313">
        <v>202820.63</v>
      </c>
      <c r="AE26" s="312">
        <v>201948.5</v>
      </c>
      <c r="AF26" s="314">
        <f>8614.91*24</f>
        <v>206757.84</v>
      </c>
      <c r="AG26" s="313">
        <v>225055.92283567472</v>
      </c>
      <c r="AH26" s="312">
        <v>205948.67498692594</v>
      </c>
      <c r="AI26" s="426"/>
      <c r="AJ26" s="313">
        <v>207530.65</v>
      </c>
      <c r="AK26" s="313">
        <v>206638.27</v>
      </c>
      <c r="AL26" s="314">
        <f>8541.35*24</f>
        <v>204992.40000000002</v>
      </c>
      <c r="AM26" s="322">
        <v>235951.95814736004</v>
      </c>
      <c r="AN26" s="313">
        <v>215919.63690064917</v>
      </c>
      <c r="AO26" s="426"/>
      <c r="AP26" s="313">
        <v>202820.78</v>
      </c>
      <c r="AQ26" s="312">
        <v>201948.66</v>
      </c>
      <c r="AR26" s="314">
        <f>8575.93*24</f>
        <v>205822.32</v>
      </c>
      <c r="AS26" s="313">
        <v>225056.08456466903</v>
      </c>
      <c r="AT26" s="313">
        <v>205948.82298512862</v>
      </c>
      <c r="AU26" s="426"/>
      <c r="AV26" s="313">
        <v>202992.15</v>
      </c>
      <c r="AW26" s="312">
        <v>202119.28</v>
      </c>
      <c r="AX26" s="314">
        <f>8545.96*24</f>
        <v>205103.03999999998</v>
      </c>
      <c r="AY26" s="313">
        <v>226021.14142248899</v>
      </c>
      <c r="AZ26" s="313">
        <v>206831.94651571967</v>
      </c>
      <c r="BA26" s="426"/>
      <c r="BB26" s="313">
        <v>205521.99</v>
      </c>
      <c r="BC26" s="312">
        <v>204638.24</v>
      </c>
      <c r="BD26" s="314">
        <f>8598.61*24</f>
        <v>206366.64</v>
      </c>
      <c r="BE26" s="313">
        <v>223067.38860000003</v>
      </c>
      <c r="BF26" s="312">
        <v>204128.96730786003</v>
      </c>
    </row>
    <row r="27" spans="1:58" ht="30.75" thickBot="1" x14ac:dyDescent="0.3">
      <c r="A27" s="350"/>
      <c r="B27" s="129" t="s">
        <v>301</v>
      </c>
      <c r="C27" s="130" t="s">
        <v>301</v>
      </c>
      <c r="D27" s="366"/>
      <c r="E27" s="354"/>
      <c r="F27" s="313"/>
      <c r="G27" s="312"/>
      <c r="H27" s="314"/>
      <c r="I27" s="313"/>
      <c r="J27" s="312"/>
      <c r="K27" s="426"/>
      <c r="L27" s="313"/>
      <c r="M27" s="312"/>
      <c r="N27" s="314"/>
      <c r="O27" s="322"/>
      <c r="P27" s="312"/>
      <c r="Q27" s="426"/>
      <c r="R27" s="322"/>
      <c r="S27" s="312"/>
      <c r="T27" s="314"/>
      <c r="U27" s="313"/>
      <c r="V27" s="313"/>
      <c r="W27" s="426"/>
      <c r="X27" s="313"/>
      <c r="Y27" s="312"/>
      <c r="Z27" s="314"/>
      <c r="AA27" s="313"/>
      <c r="AB27" s="312"/>
      <c r="AC27" s="426"/>
      <c r="AD27" s="313"/>
      <c r="AE27" s="312"/>
      <c r="AF27" s="314"/>
      <c r="AG27" s="313"/>
      <c r="AH27" s="312"/>
      <c r="AI27" s="426"/>
      <c r="AJ27" s="313"/>
      <c r="AK27" s="313"/>
      <c r="AL27" s="314"/>
      <c r="AM27" s="322"/>
      <c r="AN27" s="313"/>
      <c r="AO27" s="426"/>
      <c r="AP27" s="313"/>
      <c r="AQ27" s="312"/>
      <c r="AR27" s="314"/>
      <c r="AS27" s="313"/>
      <c r="AT27" s="313"/>
      <c r="AU27" s="426"/>
      <c r="AV27" s="313"/>
      <c r="AW27" s="312"/>
      <c r="AX27" s="314"/>
      <c r="AY27" s="313"/>
      <c r="AZ27" s="313"/>
      <c r="BA27" s="426"/>
      <c r="BB27" s="313"/>
      <c r="BC27" s="312"/>
      <c r="BD27" s="314"/>
      <c r="BE27" s="313"/>
      <c r="BF27" s="312"/>
    </row>
    <row r="28" spans="1:58" ht="14.45" customHeight="1" thickBot="1" x14ac:dyDescent="0.3">
      <c r="A28" s="371" t="s">
        <v>280</v>
      </c>
      <c r="B28" s="97" t="s">
        <v>289</v>
      </c>
      <c r="C28" s="101" t="s">
        <v>45</v>
      </c>
      <c r="D28" s="371" t="s">
        <v>144</v>
      </c>
      <c r="E28" s="373" t="s">
        <v>278</v>
      </c>
      <c r="F28" s="313">
        <v>468165.16</v>
      </c>
      <c r="G28" s="313">
        <v>465028.46</v>
      </c>
      <c r="H28" s="313">
        <v>412451.52</v>
      </c>
      <c r="I28" s="319">
        <v>378783.1764</v>
      </c>
      <c r="J28" s="321">
        <v>368101.49082552001</v>
      </c>
      <c r="K28" s="426"/>
      <c r="L28" s="313">
        <v>468164.1</v>
      </c>
      <c r="M28" s="313">
        <v>465027.41</v>
      </c>
      <c r="N28" s="313">
        <v>443951.04</v>
      </c>
      <c r="O28" s="322">
        <v>378783.1764</v>
      </c>
      <c r="P28" s="321">
        <v>368101.49082552001</v>
      </c>
      <c r="Q28" s="426"/>
      <c r="R28" s="324">
        <v>470639.58804710465</v>
      </c>
      <c r="S28" s="324">
        <v>467486.30280718906</v>
      </c>
      <c r="T28" s="319">
        <v>413280</v>
      </c>
      <c r="U28" s="319">
        <v>387288.76938939007</v>
      </c>
      <c r="V28" s="321">
        <v>376367.22609260929</v>
      </c>
      <c r="W28" s="426"/>
      <c r="X28" s="319">
        <v>468198.64</v>
      </c>
      <c r="Y28" s="319">
        <v>465061.71</v>
      </c>
      <c r="Z28" s="319">
        <v>419107.19999999995</v>
      </c>
      <c r="AA28" s="319">
        <v>378793.51999999996</v>
      </c>
      <c r="AB28" s="321">
        <v>368111.54273599997</v>
      </c>
      <c r="AC28" s="426"/>
      <c r="AD28" s="319">
        <v>468492.75</v>
      </c>
      <c r="AE28" s="319">
        <v>465353.85</v>
      </c>
      <c r="AF28" s="319">
        <v>413515.68</v>
      </c>
      <c r="AG28" s="319">
        <v>379904.75338532042</v>
      </c>
      <c r="AH28" s="321">
        <v>369191.43933985441</v>
      </c>
      <c r="AI28" s="426"/>
      <c r="AJ28" s="319">
        <v>480031.5</v>
      </c>
      <c r="AK28" s="319">
        <v>476815.29</v>
      </c>
      <c r="AL28" s="319">
        <v>409984.80000000005</v>
      </c>
      <c r="AM28" s="319">
        <v>386057.26453951997</v>
      </c>
      <c r="AN28" s="321">
        <v>375170.44967950549</v>
      </c>
      <c r="AO28" s="426"/>
      <c r="AP28" s="319">
        <v>468493.11</v>
      </c>
      <c r="AQ28" s="319">
        <v>465354.2</v>
      </c>
      <c r="AR28" s="319">
        <v>411644.64</v>
      </c>
      <c r="AS28" s="319">
        <v>379905.02639130456</v>
      </c>
      <c r="AT28" s="321">
        <v>369191.7046470698</v>
      </c>
      <c r="AU28" s="426"/>
      <c r="AV28" s="319">
        <v>469107.94</v>
      </c>
      <c r="AW28" s="319">
        <v>465964.9163224746</v>
      </c>
      <c r="AX28" s="319">
        <v>410206.07999999996</v>
      </c>
      <c r="AY28" s="319">
        <v>380575.68181474798</v>
      </c>
      <c r="AZ28" s="321">
        <v>369843.4475875721</v>
      </c>
      <c r="BA28" s="426"/>
      <c r="BB28" s="313">
        <v>474613.02</v>
      </c>
      <c r="BC28" s="313">
        <v>471433.12</v>
      </c>
      <c r="BD28" s="313">
        <v>412733.28</v>
      </c>
      <c r="BE28" s="314">
        <v>378783.1764</v>
      </c>
      <c r="BF28" s="316">
        <v>368101.49082552001</v>
      </c>
    </row>
    <row r="29" spans="1:58" ht="30.75" thickBot="1" x14ac:dyDescent="0.3">
      <c r="A29" s="372"/>
      <c r="B29" s="99" t="s">
        <v>282</v>
      </c>
      <c r="C29" s="99" t="s">
        <v>282</v>
      </c>
      <c r="D29" s="372"/>
      <c r="E29" s="374"/>
      <c r="F29" s="313"/>
      <c r="G29" s="313"/>
      <c r="H29" s="313"/>
      <c r="I29" s="319"/>
      <c r="J29" s="321"/>
      <c r="K29" s="426"/>
      <c r="L29" s="313"/>
      <c r="M29" s="313"/>
      <c r="N29" s="313"/>
      <c r="O29" s="322"/>
      <c r="P29" s="321"/>
      <c r="Q29" s="426"/>
      <c r="R29" s="324"/>
      <c r="S29" s="324"/>
      <c r="T29" s="319"/>
      <c r="U29" s="319"/>
      <c r="V29" s="321"/>
      <c r="W29" s="426"/>
      <c r="X29" s="319"/>
      <c r="Y29" s="319"/>
      <c r="Z29" s="319"/>
      <c r="AA29" s="319"/>
      <c r="AB29" s="321"/>
      <c r="AC29" s="426"/>
      <c r="AD29" s="319"/>
      <c r="AE29" s="319"/>
      <c r="AF29" s="319"/>
      <c r="AG29" s="319"/>
      <c r="AH29" s="321"/>
      <c r="AI29" s="426"/>
      <c r="AJ29" s="319"/>
      <c r="AK29" s="319"/>
      <c r="AL29" s="319"/>
      <c r="AM29" s="319"/>
      <c r="AN29" s="321"/>
      <c r="AO29" s="426"/>
      <c r="AP29" s="319"/>
      <c r="AQ29" s="319"/>
      <c r="AR29" s="319"/>
      <c r="AS29" s="319"/>
      <c r="AT29" s="321"/>
      <c r="AU29" s="426"/>
      <c r="AV29" s="319"/>
      <c r="AW29" s="319"/>
      <c r="AX29" s="319"/>
      <c r="AY29" s="319"/>
      <c r="AZ29" s="321"/>
      <c r="BA29" s="426"/>
      <c r="BB29" s="313"/>
      <c r="BC29" s="313"/>
      <c r="BD29" s="313"/>
      <c r="BE29" s="314"/>
      <c r="BF29" s="316"/>
    </row>
    <row r="30" spans="1:58" ht="14.45" customHeight="1" thickBot="1" x14ac:dyDescent="0.3">
      <c r="A30" s="349" t="s">
        <v>296</v>
      </c>
      <c r="B30" s="129" t="s">
        <v>31</v>
      </c>
      <c r="C30" s="130" t="s">
        <v>45</v>
      </c>
      <c r="D30" s="351" t="s">
        <v>141</v>
      </c>
      <c r="E30" s="353" t="s">
        <v>278</v>
      </c>
      <c r="F30" s="313">
        <v>316848.4425</v>
      </c>
      <c r="G30" s="312">
        <v>315834.52748400002</v>
      </c>
      <c r="H30" s="314">
        <f>42618.73*8</f>
        <v>340949.84</v>
      </c>
      <c r="I30" s="319">
        <v>378783.1764</v>
      </c>
      <c r="J30" s="320">
        <v>368101.49082552001</v>
      </c>
      <c r="K30" s="426"/>
      <c r="L30" s="313">
        <v>316847.72700000001</v>
      </c>
      <c r="M30" s="312">
        <v>315833.8142736</v>
      </c>
      <c r="N30" s="314">
        <f>42108.32*8</f>
        <v>336866.56</v>
      </c>
      <c r="O30" s="322">
        <v>378783.1764</v>
      </c>
      <c r="P30" s="320">
        <v>368101.49082552001</v>
      </c>
      <c r="Q30" s="426"/>
      <c r="R30" s="322">
        <v>317647.90692367492</v>
      </c>
      <c r="S30" s="312">
        <v>316631.43362151919</v>
      </c>
      <c r="T30" s="314">
        <f>42618.73*8</f>
        <v>340949.84</v>
      </c>
      <c r="U30" s="319">
        <v>387288.76938939007</v>
      </c>
      <c r="V30" s="320">
        <v>376367.22609260929</v>
      </c>
      <c r="W30" s="426"/>
      <c r="X30" s="313">
        <v>316871.10000000003</v>
      </c>
      <c r="Y30" s="312">
        <v>315857.11248000001</v>
      </c>
      <c r="Z30" s="314">
        <f>42618.8*8</f>
        <v>340950.4</v>
      </c>
      <c r="AA30" s="319">
        <v>378793.51999999996</v>
      </c>
      <c r="AB30" s="320">
        <v>368111.54273599997</v>
      </c>
      <c r="AC30" s="426"/>
      <c r="AD30" s="313">
        <v>316953.71067600005</v>
      </c>
      <c r="AE30" s="312">
        <v>315939.45880183682</v>
      </c>
      <c r="AF30" s="314">
        <f>42440.86*8</f>
        <v>339526.88</v>
      </c>
      <c r="AG30" s="319">
        <v>379904.75338532042</v>
      </c>
      <c r="AH30" s="320">
        <v>369191.43933985441</v>
      </c>
      <c r="AI30" s="426"/>
      <c r="AJ30" s="313">
        <v>324109.73145600001</v>
      </c>
      <c r="AK30" s="312">
        <v>323072.58031534083</v>
      </c>
      <c r="AL30" s="314">
        <f>41539.46*8</f>
        <v>332315.68</v>
      </c>
      <c r="AM30" s="319">
        <v>386057.26453951997</v>
      </c>
      <c r="AN30" s="320">
        <v>375170.44967950549</v>
      </c>
      <c r="AO30" s="426"/>
      <c r="AP30" s="313">
        <v>316953.94925613608</v>
      </c>
      <c r="AQ30" s="312">
        <v>315939.69661851646</v>
      </c>
      <c r="AR30" s="314">
        <f>43462.95*8</f>
        <v>347703.6</v>
      </c>
      <c r="AS30" s="319">
        <v>379905.02639130456</v>
      </c>
      <c r="AT30" s="320">
        <v>369191.7046470698</v>
      </c>
      <c r="AU30" s="426"/>
      <c r="AV30" s="313">
        <v>317153.81</v>
      </c>
      <c r="AW30" s="312">
        <v>316138.917808</v>
      </c>
      <c r="AX30" s="314">
        <f>42618.81*8</f>
        <v>340950.48</v>
      </c>
      <c r="AY30" s="319">
        <v>380575.68181474798</v>
      </c>
      <c r="AZ30" s="320">
        <v>369843.4475875721</v>
      </c>
      <c r="BA30" s="426"/>
      <c r="BB30" s="313">
        <v>321212.28000000003</v>
      </c>
      <c r="BC30" s="312">
        <v>320184.40000000002</v>
      </c>
      <c r="BD30" s="314">
        <f>41905.55*8</f>
        <v>335244.40000000002</v>
      </c>
      <c r="BE30" s="314">
        <v>378783.1764</v>
      </c>
      <c r="BF30" s="315">
        <v>368101.49082552001</v>
      </c>
    </row>
    <row r="31" spans="1:58" ht="30.75" thickBot="1" x14ac:dyDescent="0.3">
      <c r="A31" s="350"/>
      <c r="B31" s="129" t="s">
        <v>298</v>
      </c>
      <c r="C31" s="130" t="s">
        <v>298</v>
      </c>
      <c r="D31" s="352"/>
      <c r="E31" s="354"/>
      <c r="F31" s="313"/>
      <c r="G31" s="312"/>
      <c r="H31" s="314"/>
      <c r="I31" s="319"/>
      <c r="J31" s="320"/>
      <c r="K31" s="426"/>
      <c r="L31" s="313"/>
      <c r="M31" s="312"/>
      <c r="N31" s="314"/>
      <c r="O31" s="322"/>
      <c r="P31" s="320"/>
      <c r="Q31" s="426"/>
      <c r="R31" s="322"/>
      <c r="S31" s="312"/>
      <c r="T31" s="314"/>
      <c r="U31" s="319"/>
      <c r="V31" s="320"/>
      <c r="W31" s="426"/>
      <c r="X31" s="313"/>
      <c r="Y31" s="312"/>
      <c r="Z31" s="314"/>
      <c r="AA31" s="319"/>
      <c r="AB31" s="320"/>
      <c r="AC31" s="426"/>
      <c r="AD31" s="313"/>
      <c r="AE31" s="312"/>
      <c r="AF31" s="314"/>
      <c r="AG31" s="319"/>
      <c r="AH31" s="320"/>
      <c r="AI31" s="426"/>
      <c r="AJ31" s="313"/>
      <c r="AK31" s="312"/>
      <c r="AL31" s="314"/>
      <c r="AM31" s="319"/>
      <c r="AN31" s="320"/>
      <c r="AO31" s="426"/>
      <c r="AP31" s="313"/>
      <c r="AQ31" s="312"/>
      <c r="AR31" s="314"/>
      <c r="AS31" s="319"/>
      <c r="AT31" s="320"/>
      <c r="AU31" s="426"/>
      <c r="AV31" s="313"/>
      <c r="AW31" s="312"/>
      <c r="AX31" s="314"/>
      <c r="AY31" s="319"/>
      <c r="AZ31" s="320"/>
      <c r="BA31" s="426"/>
      <c r="BB31" s="313"/>
      <c r="BC31" s="312"/>
      <c r="BD31" s="314"/>
      <c r="BE31" s="314"/>
      <c r="BF31" s="315"/>
    </row>
    <row r="32" spans="1:58" ht="14.45" customHeight="1" thickBot="1" x14ac:dyDescent="0.3">
      <c r="A32" s="371" t="s">
        <v>283</v>
      </c>
      <c r="B32" s="97" t="s">
        <v>289</v>
      </c>
      <c r="C32" s="101" t="s">
        <v>46</v>
      </c>
      <c r="D32" s="371" t="s">
        <v>149</v>
      </c>
      <c r="E32" s="373" t="s">
        <v>278</v>
      </c>
      <c r="F32" s="313">
        <v>468165.16</v>
      </c>
      <c r="G32" s="312">
        <v>465028.46</v>
      </c>
      <c r="H32" s="313">
        <v>681899.68</v>
      </c>
      <c r="I32" s="319">
        <v>788319.87300000002</v>
      </c>
      <c r="J32" s="319">
        <v>786506.73729209998</v>
      </c>
      <c r="K32" s="426"/>
      <c r="L32" s="313">
        <v>468164.1</v>
      </c>
      <c r="M32" s="312">
        <v>465027.41</v>
      </c>
      <c r="N32" s="313">
        <v>673733.12</v>
      </c>
      <c r="O32" s="322">
        <v>788319.87300000002</v>
      </c>
      <c r="P32" s="319">
        <v>786506.73729209998</v>
      </c>
      <c r="Q32" s="426"/>
      <c r="R32" s="324">
        <v>470639.58804710465</v>
      </c>
      <c r="S32" s="321">
        <v>467486.30280718906</v>
      </c>
      <c r="T32" s="319">
        <v>681899.68</v>
      </c>
      <c r="U32" s="319">
        <v>789765.1942628565</v>
      </c>
      <c r="V32" s="319">
        <v>787948.73431605194</v>
      </c>
      <c r="W32" s="426"/>
      <c r="X32" s="319">
        <v>468198.64</v>
      </c>
      <c r="Y32" s="321">
        <v>465061.71</v>
      </c>
      <c r="Z32" s="319">
        <v>681900.8</v>
      </c>
      <c r="AA32" s="319">
        <v>788341.4</v>
      </c>
      <c r="AB32" s="319">
        <v>786528.21478000004</v>
      </c>
      <c r="AC32" s="426"/>
      <c r="AD32" s="319">
        <v>468492.75</v>
      </c>
      <c r="AE32" s="321">
        <v>465353.85</v>
      </c>
      <c r="AF32" s="319">
        <v>679053.76</v>
      </c>
      <c r="AG32" s="319">
        <v>788510.25224932958</v>
      </c>
      <c r="AH32" s="319">
        <v>786696.67866915616</v>
      </c>
      <c r="AI32" s="426"/>
      <c r="AJ32" s="319">
        <v>480031.5</v>
      </c>
      <c r="AK32" s="321">
        <v>476815.29</v>
      </c>
      <c r="AL32" s="319">
        <v>664631.36</v>
      </c>
      <c r="AM32" s="319">
        <v>789574.36594960012</v>
      </c>
      <c r="AN32" s="319">
        <v>787758.34490791603</v>
      </c>
      <c r="AO32" s="426"/>
      <c r="AP32" s="319">
        <v>468493.11</v>
      </c>
      <c r="AQ32" s="321">
        <v>465354.2</v>
      </c>
      <c r="AR32" s="319">
        <v>695407.2</v>
      </c>
      <c r="AS32" s="319">
        <v>788510.8188861392</v>
      </c>
      <c r="AT32" s="319">
        <v>786697.24400270113</v>
      </c>
      <c r="AU32" s="426"/>
      <c r="AV32" s="319">
        <v>469107.94</v>
      </c>
      <c r="AW32" s="321">
        <v>465964.9163224746</v>
      </c>
      <c r="AX32" s="319">
        <v>681900.96</v>
      </c>
      <c r="AY32" s="319">
        <v>788986.26338416501</v>
      </c>
      <c r="AZ32" s="319">
        <v>787171.59497838141</v>
      </c>
      <c r="BA32" s="426"/>
      <c r="BB32" s="313">
        <v>474613.02</v>
      </c>
      <c r="BC32" s="312">
        <v>471433.12</v>
      </c>
      <c r="BD32" s="313">
        <v>670488.80000000005</v>
      </c>
      <c r="BE32" s="314">
        <v>788319.87300000002</v>
      </c>
      <c r="BF32" s="314">
        <v>786506.73729209998</v>
      </c>
    </row>
    <row r="33" spans="1:58" ht="30.75" thickBot="1" x14ac:dyDescent="0.3">
      <c r="A33" s="372"/>
      <c r="B33" s="99" t="s">
        <v>285</v>
      </c>
      <c r="C33" s="99" t="s">
        <v>285</v>
      </c>
      <c r="D33" s="372"/>
      <c r="E33" s="374"/>
      <c r="F33" s="313"/>
      <c r="G33" s="312"/>
      <c r="H33" s="313"/>
      <c r="I33" s="319"/>
      <c r="J33" s="319"/>
      <c r="K33" s="426"/>
      <c r="L33" s="313"/>
      <c r="M33" s="312"/>
      <c r="N33" s="313"/>
      <c r="O33" s="322"/>
      <c r="P33" s="319"/>
      <c r="Q33" s="426"/>
      <c r="R33" s="324"/>
      <c r="S33" s="321"/>
      <c r="T33" s="319"/>
      <c r="U33" s="319"/>
      <c r="V33" s="319"/>
      <c r="W33" s="426"/>
      <c r="X33" s="319"/>
      <c r="Y33" s="321"/>
      <c r="Z33" s="319"/>
      <c r="AA33" s="319"/>
      <c r="AB33" s="319"/>
      <c r="AC33" s="426"/>
      <c r="AD33" s="319"/>
      <c r="AE33" s="321"/>
      <c r="AF33" s="319"/>
      <c r="AG33" s="319"/>
      <c r="AH33" s="319"/>
      <c r="AI33" s="426"/>
      <c r="AJ33" s="319"/>
      <c r="AK33" s="321"/>
      <c r="AL33" s="319"/>
      <c r="AM33" s="319"/>
      <c r="AN33" s="319"/>
      <c r="AO33" s="426"/>
      <c r="AP33" s="319"/>
      <c r="AQ33" s="321"/>
      <c r="AR33" s="319"/>
      <c r="AS33" s="319"/>
      <c r="AT33" s="319"/>
      <c r="AU33" s="426"/>
      <c r="AV33" s="319"/>
      <c r="AW33" s="321"/>
      <c r="AX33" s="319"/>
      <c r="AY33" s="319"/>
      <c r="AZ33" s="319"/>
      <c r="BA33" s="426"/>
      <c r="BB33" s="313"/>
      <c r="BC33" s="312"/>
      <c r="BD33" s="313"/>
      <c r="BE33" s="314"/>
      <c r="BF33" s="314"/>
    </row>
    <row r="34" spans="1:58" ht="14.45" customHeight="1" thickBot="1" x14ac:dyDescent="0.3">
      <c r="A34" s="349" t="s">
        <v>326</v>
      </c>
      <c r="B34" s="131" t="s">
        <v>32</v>
      </c>
      <c r="C34" s="132" t="s">
        <v>46</v>
      </c>
      <c r="D34" s="368" t="s">
        <v>147</v>
      </c>
      <c r="E34" s="353" t="s">
        <v>278</v>
      </c>
      <c r="F34" s="313">
        <v>468165.16</v>
      </c>
      <c r="G34" s="312">
        <v>465028.46</v>
      </c>
      <c r="H34" s="314">
        <f>8592.74*7.5+19079.38*45</f>
        <v>923017.65000000014</v>
      </c>
      <c r="I34" s="319">
        <v>788319.87300000002</v>
      </c>
      <c r="J34" s="321">
        <v>786506.73729209998</v>
      </c>
      <c r="K34" s="426"/>
      <c r="L34" s="313">
        <v>468164.1</v>
      </c>
      <c r="M34" s="312">
        <v>465027.41</v>
      </c>
      <c r="N34" s="314">
        <f>9248.98*7.5+20661.65*45</f>
        <v>999141.60000000009</v>
      </c>
      <c r="O34" s="322">
        <v>788319.87300000002</v>
      </c>
      <c r="P34" s="321">
        <v>786506.73729209998</v>
      </c>
      <c r="Q34" s="426"/>
      <c r="R34" s="322">
        <v>470639.58804710465</v>
      </c>
      <c r="S34" s="321">
        <v>467486.30280718906</v>
      </c>
      <c r="T34" s="314">
        <f>8610*7.5+19135.33*45</f>
        <v>925664.85000000009</v>
      </c>
      <c r="U34" s="319">
        <v>789765.1942628565</v>
      </c>
      <c r="V34" s="321">
        <v>787948.73431605194</v>
      </c>
      <c r="W34" s="426"/>
      <c r="X34" s="313">
        <v>468198.64</v>
      </c>
      <c r="Y34" s="321">
        <v>465061.71</v>
      </c>
      <c r="Z34" s="314">
        <f>8731.4*7.5+20947.31*45</f>
        <v>1008114.4500000001</v>
      </c>
      <c r="AA34" s="319">
        <v>788341.4</v>
      </c>
      <c r="AB34" s="321">
        <v>786528.21478000004</v>
      </c>
      <c r="AC34" s="426"/>
      <c r="AD34" s="319">
        <v>468492.75</v>
      </c>
      <c r="AE34" s="321">
        <v>465353.85</v>
      </c>
      <c r="AF34" s="314">
        <f>8614.91*7.5+19725.14*45</f>
        <v>952243.12499999988</v>
      </c>
      <c r="AG34" s="319">
        <v>788510.25224932958</v>
      </c>
      <c r="AH34" s="321">
        <v>786696.67866915616</v>
      </c>
      <c r="AI34" s="426"/>
      <c r="AJ34" s="319">
        <v>480031.5</v>
      </c>
      <c r="AK34" s="321">
        <v>476815.29</v>
      </c>
      <c r="AL34" s="314">
        <f>8541.35*7.5+19821.56*45</f>
        <v>956030.32500000007</v>
      </c>
      <c r="AM34" s="319">
        <v>789574.36594960012</v>
      </c>
      <c r="AN34" s="321">
        <v>787758.34490791603</v>
      </c>
      <c r="AO34" s="426"/>
      <c r="AP34" s="319">
        <v>468493.11</v>
      </c>
      <c r="AQ34" s="321">
        <v>465354.2</v>
      </c>
      <c r="AR34" s="314">
        <f>8575.93*7.5+19135.33*45</f>
        <v>925409.32500000007</v>
      </c>
      <c r="AS34" s="319">
        <v>788510.8188861392</v>
      </c>
      <c r="AT34" s="321">
        <v>786697.24400270113</v>
      </c>
      <c r="AU34" s="426"/>
      <c r="AV34" s="319">
        <v>469107.94</v>
      </c>
      <c r="AW34" s="321">
        <v>465964.9163224746</v>
      </c>
      <c r="AX34" s="314">
        <f>8545.96*7.5+19135.33*45</f>
        <v>925184.55</v>
      </c>
      <c r="AY34" s="319">
        <v>788986.26338416501</v>
      </c>
      <c r="AZ34" s="321">
        <v>787171.59497838141</v>
      </c>
      <c r="BA34" s="426"/>
      <c r="BB34" s="313">
        <v>474613.02</v>
      </c>
      <c r="BC34" s="312">
        <v>471433.12</v>
      </c>
      <c r="BD34" s="314">
        <f>8598.61*7.5+21048.8*45</f>
        <v>1011685.575</v>
      </c>
      <c r="BE34" s="314">
        <v>788319.87300000002</v>
      </c>
      <c r="BF34" s="316">
        <v>786506.73729209998</v>
      </c>
    </row>
    <row r="35" spans="1:58" ht="60.75" thickBot="1" x14ac:dyDescent="0.3">
      <c r="A35" s="350"/>
      <c r="B35" s="145" t="s">
        <v>327</v>
      </c>
      <c r="C35" s="141" t="s">
        <v>148</v>
      </c>
      <c r="D35" s="369"/>
      <c r="E35" s="370"/>
      <c r="F35" s="313"/>
      <c r="G35" s="312"/>
      <c r="H35" s="314"/>
      <c r="I35" s="319"/>
      <c r="J35" s="321"/>
      <c r="K35" s="426"/>
      <c r="L35" s="313"/>
      <c r="M35" s="312"/>
      <c r="N35" s="314"/>
      <c r="O35" s="322"/>
      <c r="P35" s="321"/>
      <c r="Q35" s="426"/>
      <c r="R35" s="322"/>
      <c r="S35" s="321"/>
      <c r="T35" s="314"/>
      <c r="U35" s="319"/>
      <c r="V35" s="321"/>
      <c r="W35" s="426"/>
      <c r="X35" s="313"/>
      <c r="Y35" s="321"/>
      <c r="Z35" s="314"/>
      <c r="AA35" s="319"/>
      <c r="AB35" s="321"/>
      <c r="AC35" s="426"/>
      <c r="AD35" s="319"/>
      <c r="AE35" s="321"/>
      <c r="AF35" s="314"/>
      <c r="AG35" s="319"/>
      <c r="AH35" s="321"/>
      <c r="AI35" s="426"/>
      <c r="AJ35" s="319"/>
      <c r="AK35" s="321"/>
      <c r="AL35" s="314"/>
      <c r="AM35" s="319"/>
      <c r="AN35" s="321"/>
      <c r="AO35" s="426"/>
      <c r="AP35" s="319"/>
      <c r="AQ35" s="321"/>
      <c r="AR35" s="314"/>
      <c r="AS35" s="319"/>
      <c r="AT35" s="321"/>
      <c r="AU35" s="426"/>
      <c r="AV35" s="319"/>
      <c r="AW35" s="321"/>
      <c r="AX35" s="314"/>
      <c r="AY35" s="319"/>
      <c r="AZ35" s="321"/>
      <c r="BA35" s="426"/>
      <c r="BB35" s="313"/>
      <c r="BC35" s="312"/>
      <c r="BD35" s="314"/>
      <c r="BE35" s="314"/>
      <c r="BF35" s="316"/>
    </row>
    <row r="36" spans="1:58" ht="15.75" thickBot="1" x14ac:dyDescent="0.3">
      <c r="A36" s="140"/>
      <c r="B36" s="125"/>
      <c r="C36" s="125"/>
      <c r="D36" s="125"/>
      <c r="E36" s="169"/>
      <c r="F36" s="157"/>
      <c r="G36" s="174"/>
      <c r="H36" s="117"/>
      <c r="I36" s="158"/>
      <c r="J36" s="159"/>
      <c r="K36" s="426"/>
      <c r="L36" s="293"/>
      <c r="M36" s="274"/>
      <c r="N36" s="274"/>
      <c r="O36" s="274"/>
      <c r="P36" s="295"/>
      <c r="Q36" s="426"/>
      <c r="R36" s="306"/>
      <c r="S36" s="307"/>
      <c r="T36" s="307"/>
      <c r="U36" s="307"/>
      <c r="V36" s="308"/>
      <c r="W36" s="426"/>
      <c r="X36" s="268"/>
      <c r="Y36" s="269"/>
      <c r="Z36" s="269"/>
      <c r="AA36" s="269"/>
      <c r="AB36" s="270"/>
      <c r="AC36" s="426"/>
      <c r="AD36" s="268"/>
      <c r="AE36" s="269"/>
      <c r="AF36" s="269"/>
      <c r="AG36" s="269"/>
      <c r="AH36" s="270"/>
      <c r="AI36" s="426"/>
      <c r="AJ36" s="268"/>
      <c r="AK36" s="269"/>
      <c r="AL36" s="269"/>
      <c r="AM36" s="269"/>
      <c r="AN36" s="270"/>
      <c r="AO36" s="426"/>
      <c r="AP36" s="268"/>
      <c r="AQ36" s="269"/>
      <c r="AR36" s="269"/>
      <c r="AS36" s="269"/>
      <c r="AT36" s="270"/>
      <c r="AU36" s="426"/>
      <c r="AV36" s="268"/>
      <c r="AW36" s="269"/>
      <c r="AX36" s="269"/>
      <c r="AY36" s="269"/>
      <c r="AZ36" s="270"/>
      <c r="BA36" s="426"/>
      <c r="BB36" s="293"/>
      <c r="BC36" s="274"/>
      <c r="BD36" s="274"/>
      <c r="BE36" s="274"/>
      <c r="BF36" s="295"/>
    </row>
    <row r="37" spans="1:58" ht="15" customHeight="1" thickBot="1" x14ac:dyDescent="0.3">
      <c r="A37" s="403" t="s">
        <v>275</v>
      </c>
      <c r="B37" s="404"/>
      <c r="C37" s="404"/>
      <c r="D37" s="404"/>
      <c r="E37" s="423"/>
      <c r="F37" s="148"/>
      <c r="G37" s="102"/>
      <c r="H37" s="102"/>
      <c r="I37" s="95"/>
      <c r="J37" s="149"/>
      <c r="K37" s="426"/>
      <c r="L37" s="294"/>
      <c r="M37" s="276"/>
      <c r="N37" s="276"/>
      <c r="O37" s="276"/>
      <c r="P37" s="297"/>
      <c r="Q37" s="426"/>
      <c r="R37" s="309"/>
      <c r="S37" s="310"/>
      <c r="T37" s="310"/>
      <c r="U37" s="310"/>
      <c r="V37" s="311"/>
      <c r="W37" s="426"/>
      <c r="X37" s="271"/>
      <c r="Y37" s="272"/>
      <c r="Z37" s="272"/>
      <c r="AA37" s="272"/>
      <c r="AB37" s="273"/>
      <c r="AC37" s="426"/>
      <c r="AD37" s="271"/>
      <c r="AE37" s="272"/>
      <c r="AF37" s="272"/>
      <c r="AG37" s="272"/>
      <c r="AH37" s="273"/>
      <c r="AI37" s="426"/>
      <c r="AJ37" s="271"/>
      <c r="AK37" s="272"/>
      <c r="AL37" s="272"/>
      <c r="AM37" s="272"/>
      <c r="AN37" s="273"/>
      <c r="AO37" s="426"/>
      <c r="AP37" s="271"/>
      <c r="AQ37" s="272"/>
      <c r="AR37" s="272"/>
      <c r="AS37" s="272"/>
      <c r="AT37" s="273"/>
      <c r="AU37" s="426"/>
      <c r="AV37" s="301"/>
      <c r="AW37" s="302"/>
      <c r="AX37" s="302"/>
      <c r="AY37" s="302"/>
      <c r="AZ37" s="303"/>
      <c r="BA37" s="426"/>
      <c r="BB37" s="294"/>
      <c r="BC37" s="276"/>
      <c r="BD37" s="276"/>
      <c r="BE37" s="276"/>
      <c r="BF37" s="297"/>
    </row>
    <row r="38" spans="1:58" ht="14.45" customHeight="1" thickBot="1" x14ac:dyDescent="0.3">
      <c r="A38" s="349" t="s">
        <v>291</v>
      </c>
      <c r="B38" s="142" t="s">
        <v>23</v>
      </c>
      <c r="C38" s="142" t="s">
        <v>36</v>
      </c>
      <c r="D38" s="351" t="s">
        <v>132</v>
      </c>
      <c r="E38" s="353" t="s">
        <v>290</v>
      </c>
      <c r="F38" s="313">
        <v>199143.3927</v>
      </c>
      <c r="G38" s="312" t="s">
        <v>294</v>
      </c>
      <c r="H38" s="314">
        <f>8592.74*22.5</f>
        <v>193336.65</v>
      </c>
      <c r="I38" s="313">
        <v>195741.07800000001</v>
      </c>
      <c r="J38" s="312">
        <v>189242.47421040002</v>
      </c>
      <c r="K38" s="426"/>
      <c r="L38" s="313">
        <v>206582.37</v>
      </c>
      <c r="M38" s="312">
        <v>191729.1</v>
      </c>
      <c r="N38" s="314">
        <f>9248.98*22.5</f>
        <v>208102.05</v>
      </c>
      <c r="O38" s="322">
        <v>200396.064012066</v>
      </c>
      <c r="P38" s="312">
        <v>193742.91468686541</v>
      </c>
      <c r="Q38" s="426"/>
      <c r="R38" s="324">
        <v>210443.30238576166</v>
      </c>
      <c r="S38" s="313">
        <v>195312.42894422539</v>
      </c>
      <c r="T38" s="314">
        <f>8610*22.5</f>
        <v>193725</v>
      </c>
      <c r="U38" s="313">
        <v>202885.28859182884</v>
      </c>
      <c r="V38" s="313">
        <v>196149.49701058012</v>
      </c>
      <c r="W38" s="426"/>
      <c r="X38" s="313">
        <v>202729.65</v>
      </c>
      <c r="Y38" s="312">
        <v>188153.59</v>
      </c>
      <c r="Z38" s="314">
        <f>8731.4*22.5</f>
        <v>196456.5</v>
      </c>
      <c r="AA38" s="313">
        <v>197370.61113600002</v>
      </c>
      <c r="AB38" s="312">
        <v>190817.90684628481</v>
      </c>
      <c r="AC38" s="426"/>
      <c r="AD38" s="313">
        <v>205076.68</v>
      </c>
      <c r="AE38" s="312">
        <v>190331.67</v>
      </c>
      <c r="AF38" s="314">
        <f>8614.91*22.5</f>
        <v>193835.47500000001</v>
      </c>
      <c r="AG38" s="313">
        <v>199321.49548563667</v>
      </c>
      <c r="AH38" s="312">
        <v>192704.02183551353</v>
      </c>
      <c r="AI38" s="426"/>
      <c r="AJ38" s="313">
        <v>218537</v>
      </c>
      <c r="AK38" s="313">
        <v>202824.19</v>
      </c>
      <c r="AL38" s="314">
        <f>8541.35*22.5</f>
        <v>192180.375</v>
      </c>
      <c r="AM38" s="313">
        <v>204540.68189673603</v>
      </c>
      <c r="AN38" s="317">
        <v>197749.9312577644</v>
      </c>
      <c r="AO38" s="426"/>
      <c r="AP38" s="313">
        <v>203365.91</v>
      </c>
      <c r="AQ38" s="312">
        <v>188743.91</v>
      </c>
      <c r="AR38" s="314">
        <f>8575.93*22.5</f>
        <v>192958.42500000002</v>
      </c>
      <c r="AS38" s="313">
        <v>200292.05350999284</v>
      </c>
      <c r="AT38" s="313">
        <v>193642.35733346108</v>
      </c>
      <c r="AU38" s="426"/>
      <c r="AV38" s="313">
        <v>201291.07</v>
      </c>
      <c r="AW38" s="312">
        <v>186818.24</v>
      </c>
      <c r="AX38" s="314">
        <f>8545.96*22.5</f>
        <v>192284.09999999998</v>
      </c>
      <c r="AY38" s="313">
        <v>196896.72577422002</v>
      </c>
      <c r="AZ38" s="312">
        <v>190359.75447851591</v>
      </c>
      <c r="BA38" s="426"/>
      <c r="BB38" s="313">
        <v>200861.68752473284</v>
      </c>
      <c r="BC38" s="312">
        <v>186419.73</v>
      </c>
      <c r="BD38" s="314">
        <f>8598.61*22.5</f>
        <v>193468.72500000001</v>
      </c>
      <c r="BE38" s="313">
        <v>196520.91045475201</v>
      </c>
      <c r="BF38" s="312">
        <v>189996.41622765423</v>
      </c>
    </row>
    <row r="39" spans="1:58" ht="30.75" thickBot="1" x14ac:dyDescent="0.3">
      <c r="A39" s="361"/>
      <c r="B39" s="128" t="s">
        <v>295</v>
      </c>
      <c r="C39" s="128" t="s">
        <v>295</v>
      </c>
      <c r="D39" s="362"/>
      <c r="E39" s="363"/>
      <c r="F39" s="313"/>
      <c r="G39" s="312"/>
      <c r="H39" s="314"/>
      <c r="I39" s="313"/>
      <c r="J39" s="312"/>
      <c r="K39" s="426"/>
      <c r="L39" s="313"/>
      <c r="M39" s="312"/>
      <c r="N39" s="314"/>
      <c r="O39" s="322"/>
      <c r="P39" s="312"/>
      <c r="Q39" s="426"/>
      <c r="R39" s="324"/>
      <c r="S39" s="313"/>
      <c r="T39" s="314"/>
      <c r="U39" s="313"/>
      <c r="V39" s="313"/>
      <c r="W39" s="426"/>
      <c r="X39" s="313"/>
      <c r="Y39" s="312"/>
      <c r="Z39" s="314"/>
      <c r="AA39" s="313"/>
      <c r="AB39" s="312"/>
      <c r="AC39" s="426"/>
      <c r="AD39" s="313"/>
      <c r="AE39" s="312"/>
      <c r="AF39" s="314"/>
      <c r="AG39" s="313"/>
      <c r="AH39" s="312"/>
      <c r="AI39" s="426"/>
      <c r="AJ39" s="313"/>
      <c r="AK39" s="313"/>
      <c r="AL39" s="314"/>
      <c r="AM39" s="313"/>
      <c r="AN39" s="317"/>
      <c r="AO39" s="426"/>
      <c r="AP39" s="313"/>
      <c r="AQ39" s="312"/>
      <c r="AR39" s="314"/>
      <c r="AS39" s="313"/>
      <c r="AT39" s="313"/>
      <c r="AU39" s="426"/>
      <c r="AV39" s="313"/>
      <c r="AW39" s="312"/>
      <c r="AX39" s="314"/>
      <c r="AY39" s="313"/>
      <c r="AZ39" s="312"/>
      <c r="BA39" s="426"/>
      <c r="BB39" s="313"/>
      <c r="BC39" s="312"/>
      <c r="BD39" s="314"/>
      <c r="BE39" s="313"/>
      <c r="BF39" s="312"/>
    </row>
    <row r="40" spans="1:58" ht="14.45" customHeight="1" thickBot="1" x14ac:dyDescent="0.3">
      <c r="A40" s="364" t="s">
        <v>291</v>
      </c>
      <c r="B40" s="142" t="s">
        <v>23</v>
      </c>
      <c r="C40" s="142" t="s">
        <v>36</v>
      </c>
      <c r="D40" s="365" t="s">
        <v>135</v>
      </c>
      <c r="E40" s="367" t="s">
        <v>290</v>
      </c>
      <c r="F40" s="313">
        <v>199143.3927</v>
      </c>
      <c r="G40" s="312" t="s">
        <v>294</v>
      </c>
      <c r="H40" s="314">
        <f>8592.74*24</f>
        <v>206225.76</v>
      </c>
      <c r="I40" s="313">
        <v>195741.07800000001</v>
      </c>
      <c r="J40" s="312">
        <v>189242.47421040002</v>
      </c>
      <c r="K40" s="426"/>
      <c r="L40" s="313">
        <v>206582.37</v>
      </c>
      <c r="M40" s="312">
        <v>191729.1</v>
      </c>
      <c r="N40" s="314">
        <f>9248.98*24</f>
        <v>221975.52</v>
      </c>
      <c r="O40" s="322">
        <v>200396.064012066</v>
      </c>
      <c r="P40" s="312">
        <v>193742.91468686541</v>
      </c>
      <c r="Q40" s="426"/>
      <c r="R40" s="324">
        <v>210443.30238576166</v>
      </c>
      <c r="S40" s="312">
        <v>195312.42894422539</v>
      </c>
      <c r="T40" s="314">
        <f>8610*24</f>
        <v>206640</v>
      </c>
      <c r="U40" s="313">
        <v>202885.28859182884</v>
      </c>
      <c r="V40" s="312">
        <v>196149.49701058012</v>
      </c>
      <c r="W40" s="426"/>
      <c r="X40" s="313">
        <v>202729.65</v>
      </c>
      <c r="Y40" s="312">
        <v>188153.59</v>
      </c>
      <c r="Z40" s="314">
        <f>8731.4*24</f>
        <v>209553.59999999998</v>
      </c>
      <c r="AA40" s="313">
        <v>197370.61113600002</v>
      </c>
      <c r="AB40" s="312">
        <v>190817.90684628481</v>
      </c>
      <c r="AC40" s="426"/>
      <c r="AD40" s="313">
        <v>205076.68</v>
      </c>
      <c r="AE40" s="312">
        <v>190331.67</v>
      </c>
      <c r="AF40" s="314">
        <f>8614.91*24</f>
        <v>206757.84</v>
      </c>
      <c r="AG40" s="313">
        <v>199321.49548563667</v>
      </c>
      <c r="AH40" s="312">
        <v>192704.02183551353</v>
      </c>
      <c r="AI40" s="426"/>
      <c r="AJ40" s="313">
        <v>218537</v>
      </c>
      <c r="AK40" s="312">
        <v>202824.19</v>
      </c>
      <c r="AL40" s="314">
        <f>8541.35*24</f>
        <v>204992.40000000002</v>
      </c>
      <c r="AM40" s="313">
        <v>204540.68189673603</v>
      </c>
      <c r="AN40" s="312">
        <v>197749.9312577644</v>
      </c>
      <c r="AO40" s="426"/>
      <c r="AP40" s="313">
        <v>203365.91</v>
      </c>
      <c r="AQ40" s="312">
        <v>188743.91</v>
      </c>
      <c r="AR40" s="314">
        <f>8575.93*24</f>
        <v>205822.32</v>
      </c>
      <c r="AS40" s="313">
        <v>200292.05350999284</v>
      </c>
      <c r="AT40" s="312">
        <v>193642.35733346108</v>
      </c>
      <c r="AU40" s="426"/>
      <c r="AV40" s="313">
        <v>201291.07</v>
      </c>
      <c r="AW40" s="312">
        <v>186818.24</v>
      </c>
      <c r="AX40" s="314">
        <f>8545.96*24</f>
        <v>205103.03999999998</v>
      </c>
      <c r="AY40" s="313">
        <v>196896.72577422002</v>
      </c>
      <c r="AZ40" s="312">
        <v>190359.75447851591</v>
      </c>
      <c r="BA40" s="426"/>
      <c r="BB40" s="313">
        <v>200861.68752473284</v>
      </c>
      <c r="BC40" s="312">
        <v>186419.73</v>
      </c>
      <c r="BD40" s="314">
        <f>8598.61*24</f>
        <v>206366.64</v>
      </c>
      <c r="BE40" s="313">
        <v>196520.91045475201</v>
      </c>
      <c r="BF40" s="312">
        <v>189996.41622765423</v>
      </c>
    </row>
    <row r="41" spans="1:58" ht="30.75" thickBot="1" x14ac:dyDescent="0.3">
      <c r="A41" s="350"/>
      <c r="B41" s="129" t="s">
        <v>301</v>
      </c>
      <c r="C41" s="130" t="s">
        <v>301</v>
      </c>
      <c r="D41" s="366"/>
      <c r="E41" s="354"/>
      <c r="F41" s="313"/>
      <c r="G41" s="312"/>
      <c r="H41" s="314"/>
      <c r="I41" s="313"/>
      <c r="J41" s="312"/>
      <c r="K41" s="426"/>
      <c r="L41" s="313"/>
      <c r="M41" s="312"/>
      <c r="N41" s="314"/>
      <c r="O41" s="322"/>
      <c r="P41" s="312"/>
      <c r="Q41" s="426"/>
      <c r="R41" s="324"/>
      <c r="S41" s="312"/>
      <c r="T41" s="314"/>
      <c r="U41" s="313"/>
      <c r="V41" s="312"/>
      <c r="W41" s="426"/>
      <c r="X41" s="313"/>
      <c r="Y41" s="312"/>
      <c r="Z41" s="314"/>
      <c r="AA41" s="313"/>
      <c r="AB41" s="312"/>
      <c r="AC41" s="426"/>
      <c r="AD41" s="313"/>
      <c r="AE41" s="312"/>
      <c r="AF41" s="314"/>
      <c r="AG41" s="313"/>
      <c r="AH41" s="312"/>
      <c r="AI41" s="426"/>
      <c r="AJ41" s="313"/>
      <c r="AK41" s="312"/>
      <c r="AL41" s="314"/>
      <c r="AM41" s="313"/>
      <c r="AN41" s="312"/>
      <c r="AO41" s="426"/>
      <c r="AP41" s="313"/>
      <c r="AQ41" s="312"/>
      <c r="AR41" s="314"/>
      <c r="AS41" s="313"/>
      <c r="AT41" s="312"/>
      <c r="AU41" s="426"/>
      <c r="AV41" s="313"/>
      <c r="AW41" s="312"/>
      <c r="AX41" s="314"/>
      <c r="AY41" s="313"/>
      <c r="AZ41" s="312"/>
      <c r="BA41" s="426"/>
      <c r="BB41" s="313"/>
      <c r="BC41" s="312"/>
      <c r="BD41" s="314"/>
      <c r="BE41" s="313"/>
      <c r="BF41" s="312"/>
    </row>
    <row r="42" spans="1:58" ht="14.45" customHeight="1" thickBot="1" x14ac:dyDescent="0.3">
      <c r="A42" s="371" t="s">
        <v>280</v>
      </c>
      <c r="B42" s="97" t="s">
        <v>281</v>
      </c>
      <c r="C42" s="24" t="s">
        <v>39</v>
      </c>
      <c r="D42" s="371" t="s">
        <v>144</v>
      </c>
      <c r="E42" s="373" t="s">
        <v>290</v>
      </c>
      <c r="F42" s="313">
        <v>419631.9547</v>
      </c>
      <c r="G42" s="312">
        <v>409392.93500532</v>
      </c>
      <c r="H42" s="313">
        <v>412451.52</v>
      </c>
      <c r="I42" s="319">
        <v>417192.88</v>
      </c>
      <c r="J42" s="321">
        <v>412228.284728</v>
      </c>
      <c r="K42" s="426"/>
      <c r="L42" s="313">
        <v>428247.92353028402</v>
      </c>
      <c r="M42" s="312">
        <v>417798.67419614509</v>
      </c>
      <c r="N42" s="313">
        <v>443951.04</v>
      </c>
      <c r="O42" s="319">
        <v>423966.72526962002</v>
      </c>
      <c r="P42" s="321">
        <v>418921.52123891155</v>
      </c>
      <c r="Q42" s="426"/>
      <c r="R42" s="324">
        <v>427712.22435307299</v>
      </c>
      <c r="S42" s="319">
        <v>417276.04607885802</v>
      </c>
      <c r="T42" s="319">
        <v>413280</v>
      </c>
      <c r="U42" s="319">
        <v>425275.1250107176</v>
      </c>
      <c r="V42" s="319">
        <v>420214.35102309007</v>
      </c>
      <c r="W42" s="426"/>
      <c r="X42" s="319">
        <v>422205.56895300001</v>
      </c>
      <c r="Y42" s="321">
        <v>411903.75307054678</v>
      </c>
      <c r="Z42" s="319">
        <v>419107.19999999995</v>
      </c>
      <c r="AA42" s="319">
        <v>418444.37952000002</v>
      </c>
      <c r="AB42" s="321">
        <v>413464.89140371204</v>
      </c>
      <c r="AC42" s="426"/>
      <c r="AD42" s="319">
        <v>423874.46233470849</v>
      </c>
      <c r="AE42" s="319">
        <v>413531.92545374157</v>
      </c>
      <c r="AF42" s="319">
        <v>413515.68</v>
      </c>
      <c r="AG42" s="319">
        <v>421125.09264016704</v>
      </c>
      <c r="AH42" s="319">
        <v>416113.70403774903</v>
      </c>
      <c r="AI42" s="426"/>
      <c r="AJ42" s="319">
        <v>433544.77956672007</v>
      </c>
      <c r="AK42" s="319">
        <v>422966.28694529209</v>
      </c>
      <c r="AL42" s="319">
        <v>409984.80000000005</v>
      </c>
      <c r="AM42" s="319">
        <v>423932.97557151993</v>
      </c>
      <c r="AN42" s="319">
        <v>418888.17316221882</v>
      </c>
      <c r="AO42" s="426"/>
      <c r="AP42" s="319">
        <v>424036.39017445332</v>
      </c>
      <c r="AQ42" s="319">
        <v>413689.90225419664</v>
      </c>
      <c r="AR42" s="319">
        <v>411644.64</v>
      </c>
      <c r="AS42" s="319">
        <v>424868.16245129704</v>
      </c>
      <c r="AT42" s="319">
        <v>419812.23131812661</v>
      </c>
      <c r="AU42" s="426"/>
      <c r="AV42" s="422">
        <v>421167.62809942808</v>
      </c>
      <c r="AW42" s="422">
        <v>410891.13797380205</v>
      </c>
      <c r="AX42" s="422">
        <v>410206.07999999996</v>
      </c>
      <c r="AY42" s="422">
        <v>418321.81394539995</v>
      </c>
      <c r="AZ42" s="422">
        <v>413343.7843594497</v>
      </c>
      <c r="BA42" s="426"/>
      <c r="BB42" s="313">
        <f>'[1]9 регионов'!L159</f>
        <v>420860.81648718088</v>
      </c>
      <c r="BC42" s="312">
        <v>410591.81256489368</v>
      </c>
      <c r="BD42" s="313">
        <v>412733.28</v>
      </c>
      <c r="BE42" s="314">
        <v>417788.63143264002</v>
      </c>
      <c r="BF42" s="314">
        <v>412816.94671859161</v>
      </c>
    </row>
    <row r="43" spans="1:58" ht="30.75" thickBot="1" x14ac:dyDescent="0.3">
      <c r="A43" s="372"/>
      <c r="B43" s="99" t="s">
        <v>282</v>
      </c>
      <c r="C43" s="99" t="s">
        <v>282</v>
      </c>
      <c r="D43" s="372"/>
      <c r="E43" s="374"/>
      <c r="F43" s="313"/>
      <c r="G43" s="312"/>
      <c r="H43" s="313"/>
      <c r="I43" s="319"/>
      <c r="J43" s="321"/>
      <c r="K43" s="426"/>
      <c r="L43" s="313"/>
      <c r="M43" s="312"/>
      <c r="N43" s="313"/>
      <c r="O43" s="319"/>
      <c r="P43" s="321"/>
      <c r="Q43" s="426"/>
      <c r="R43" s="324"/>
      <c r="S43" s="319"/>
      <c r="T43" s="319"/>
      <c r="U43" s="319"/>
      <c r="V43" s="319"/>
      <c r="W43" s="426"/>
      <c r="X43" s="319"/>
      <c r="Y43" s="321"/>
      <c r="Z43" s="319"/>
      <c r="AA43" s="319"/>
      <c r="AB43" s="321"/>
      <c r="AC43" s="426"/>
      <c r="AD43" s="319"/>
      <c r="AE43" s="319"/>
      <c r="AF43" s="319"/>
      <c r="AG43" s="319"/>
      <c r="AH43" s="319"/>
      <c r="AI43" s="426"/>
      <c r="AJ43" s="319"/>
      <c r="AK43" s="319"/>
      <c r="AL43" s="319"/>
      <c r="AM43" s="319"/>
      <c r="AN43" s="319"/>
      <c r="AO43" s="426"/>
      <c r="AP43" s="319"/>
      <c r="AQ43" s="319"/>
      <c r="AR43" s="319"/>
      <c r="AS43" s="319"/>
      <c r="AT43" s="319"/>
      <c r="AU43" s="426"/>
      <c r="AV43" s="422"/>
      <c r="AW43" s="422"/>
      <c r="AX43" s="422"/>
      <c r="AY43" s="422"/>
      <c r="AZ43" s="422"/>
      <c r="BA43" s="426"/>
      <c r="BB43" s="313"/>
      <c r="BC43" s="312"/>
      <c r="BD43" s="313"/>
      <c r="BE43" s="314"/>
      <c r="BF43" s="314"/>
    </row>
    <row r="44" spans="1:58" ht="14.45" customHeight="1" thickBot="1" x14ac:dyDescent="0.3">
      <c r="A44" s="349" t="s">
        <v>296</v>
      </c>
      <c r="B44" s="129" t="s">
        <v>24</v>
      </c>
      <c r="C44" s="130" t="s">
        <v>38</v>
      </c>
      <c r="D44" s="351" t="s">
        <v>141</v>
      </c>
      <c r="E44" s="353" t="s">
        <v>290</v>
      </c>
      <c r="F44" s="313">
        <v>313844.35740000004</v>
      </c>
      <c r="G44" s="312">
        <v>307912.69904514001</v>
      </c>
      <c r="H44" s="314">
        <f>42618.73*8</f>
        <v>340949.84</v>
      </c>
      <c r="I44" s="313">
        <v>336179.84399999998</v>
      </c>
      <c r="J44" s="312">
        <v>330969.05641799996</v>
      </c>
      <c r="K44" s="426"/>
      <c r="L44" s="313">
        <v>319676.94</v>
      </c>
      <c r="M44" s="312">
        <v>313635.04583399999</v>
      </c>
      <c r="N44" s="314">
        <f>42108.32*8</f>
        <v>336866.56</v>
      </c>
      <c r="O44" s="322">
        <v>342066.98185159505</v>
      </c>
      <c r="P44" s="312">
        <v>336764.9436328953</v>
      </c>
      <c r="Q44" s="426"/>
      <c r="R44" s="324">
        <v>318525.35058216605</v>
      </c>
      <c r="S44" s="312">
        <v>312505.2214561631</v>
      </c>
      <c r="T44" s="314">
        <f>42618.73*8</f>
        <v>340949.84</v>
      </c>
      <c r="U44" s="313">
        <v>343665.67713443656</v>
      </c>
      <c r="V44" s="312">
        <v>338338.8591388528</v>
      </c>
      <c r="W44" s="426"/>
      <c r="X44" s="313">
        <v>315337.62</v>
      </c>
      <c r="Y44" s="312">
        <v>309377.73898199998</v>
      </c>
      <c r="Z44" s="314">
        <f>42618.8*8</f>
        <v>340950.4</v>
      </c>
      <c r="AA44" s="313">
        <v>337490.88912000001</v>
      </c>
      <c r="AB44" s="312">
        <v>332259.78033864003</v>
      </c>
      <c r="AC44" s="426"/>
      <c r="AD44" s="313">
        <v>316302.03000000003</v>
      </c>
      <c r="AE44" s="312">
        <v>310323.92163300002</v>
      </c>
      <c r="AF44" s="314">
        <f>42440.86*8</f>
        <v>339526.88</v>
      </c>
      <c r="AG44" s="313">
        <v>339852.24517560616</v>
      </c>
      <c r="AH44" s="312">
        <v>334584.53537538426</v>
      </c>
      <c r="AI44" s="426"/>
      <c r="AJ44" s="313">
        <v>321915.69104544003</v>
      </c>
      <c r="AK44" s="312">
        <v>315831.48448468122</v>
      </c>
      <c r="AL44" s="314">
        <f>41539.46*8</f>
        <v>332315.68</v>
      </c>
      <c r="AM44" s="313">
        <v>343247.46953111998</v>
      </c>
      <c r="AN44" s="313">
        <v>337927.13375338761</v>
      </c>
      <c r="AO44" s="426"/>
      <c r="AP44" s="313">
        <v>316749.34000000003</v>
      </c>
      <c r="AQ44" s="312">
        <v>310762.777474</v>
      </c>
      <c r="AR44" s="314">
        <f>43462.95*8</f>
        <v>347703.6</v>
      </c>
      <c r="AS44" s="313">
        <v>342640.41040431976</v>
      </c>
      <c r="AT44" s="312">
        <v>337329.48404305283</v>
      </c>
      <c r="AU44" s="426"/>
      <c r="AV44" s="313">
        <v>314733.96999999997</v>
      </c>
      <c r="AW44" s="312">
        <v>308785.49796699994</v>
      </c>
      <c r="AX44" s="314">
        <f>42618.81*8</f>
        <v>340950.48</v>
      </c>
      <c r="AY44" s="313">
        <v>337271.25874365005</v>
      </c>
      <c r="AZ44" s="312">
        <v>332043.55423312349</v>
      </c>
      <c r="BA44" s="426"/>
      <c r="BB44" s="313">
        <v>314556.29050604161</v>
      </c>
      <c r="BC44" s="312">
        <v>308611.17611899995</v>
      </c>
      <c r="BD44" s="314">
        <f>41905.55*8</f>
        <v>335244.40000000002</v>
      </c>
      <c r="BE44" s="313">
        <v>336805.13850983995</v>
      </c>
      <c r="BF44" s="312">
        <v>331584.65886293742</v>
      </c>
    </row>
    <row r="45" spans="1:58" ht="30.75" thickBot="1" x14ac:dyDescent="0.3">
      <c r="A45" s="350"/>
      <c r="B45" s="129" t="s">
        <v>298</v>
      </c>
      <c r="C45" s="130" t="s">
        <v>298</v>
      </c>
      <c r="D45" s="352"/>
      <c r="E45" s="354"/>
      <c r="F45" s="313"/>
      <c r="G45" s="312"/>
      <c r="H45" s="314"/>
      <c r="I45" s="313"/>
      <c r="J45" s="312"/>
      <c r="K45" s="426"/>
      <c r="L45" s="313"/>
      <c r="M45" s="312"/>
      <c r="N45" s="314"/>
      <c r="O45" s="322"/>
      <c r="P45" s="312"/>
      <c r="Q45" s="426"/>
      <c r="R45" s="324"/>
      <c r="S45" s="312"/>
      <c r="T45" s="314"/>
      <c r="U45" s="313"/>
      <c r="V45" s="312"/>
      <c r="W45" s="426"/>
      <c r="X45" s="313"/>
      <c r="Y45" s="312"/>
      <c r="Z45" s="314"/>
      <c r="AA45" s="313"/>
      <c r="AB45" s="312"/>
      <c r="AC45" s="426"/>
      <c r="AD45" s="313"/>
      <c r="AE45" s="312"/>
      <c r="AF45" s="314"/>
      <c r="AG45" s="313"/>
      <c r="AH45" s="312"/>
      <c r="AI45" s="426"/>
      <c r="AJ45" s="313"/>
      <c r="AK45" s="312"/>
      <c r="AL45" s="314"/>
      <c r="AM45" s="313"/>
      <c r="AN45" s="313"/>
      <c r="AO45" s="426"/>
      <c r="AP45" s="313"/>
      <c r="AQ45" s="312"/>
      <c r="AR45" s="314"/>
      <c r="AS45" s="313"/>
      <c r="AT45" s="312"/>
      <c r="AU45" s="426"/>
      <c r="AV45" s="313"/>
      <c r="AW45" s="312"/>
      <c r="AX45" s="314"/>
      <c r="AY45" s="313"/>
      <c r="AZ45" s="312"/>
      <c r="BA45" s="426"/>
      <c r="BB45" s="313"/>
      <c r="BC45" s="312"/>
      <c r="BD45" s="314"/>
      <c r="BE45" s="313"/>
      <c r="BF45" s="312"/>
    </row>
    <row r="46" spans="1:58" ht="14.45" customHeight="1" thickBot="1" x14ac:dyDescent="0.3">
      <c r="A46" s="371" t="s">
        <v>283</v>
      </c>
      <c r="B46" s="97" t="s">
        <v>284</v>
      </c>
      <c r="C46" s="24" t="s">
        <v>40</v>
      </c>
      <c r="D46" s="371" t="s">
        <v>149</v>
      </c>
      <c r="E46" s="373" t="s">
        <v>290</v>
      </c>
      <c r="F46" s="313">
        <v>811116.43339999998</v>
      </c>
      <c r="G46" s="313">
        <v>805195.28343617998</v>
      </c>
      <c r="H46" s="313">
        <v>681899.68</v>
      </c>
      <c r="I46" s="319">
        <v>707530.01800000004</v>
      </c>
      <c r="J46" s="319">
        <v>702648.06087580009</v>
      </c>
      <c r="K46" s="426"/>
      <c r="L46" s="313">
        <v>822858.18591576605</v>
      </c>
      <c r="M46" s="313">
        <v>816851.32115858095</v>
      </c>
      <c r="N46" s="313">
        <v>673733.12</v>
      </c>
      <c r="O46" s="319">
        <v>717764.92451139458</v>
      </c>
      <c r="P46" s="319">
        <v>712812.346532266</v>
      </c>
      <c r="Q46" s="426"/>
      <c r="R46" s="324">
        <v>815788.70936702844</v>
      </c>
      <c r="S46" s="319">
        <v>809833.45178864908</v>
      </c>
      <c r="T46" s="319">
        <v>681899.68</v>
      </c>
      <c r="U46" s="319">
        <v>718392.64646708115</v>
      </c>
      <c r="V46" s="319">
        <v>713435.73720645835</v>
      </c>
      <c r="W46" s="426"/>
      <c r="X46" s="319">
        <v>812623.39608449989</v>
      </c>
      <c r="Y46" s="319">
        <v>806691.24529308302</v>
      </c>
      <c r="Z46" s="319">
        <v>681900.8</v>
      </c>
      <c r="AA46" s="319">
        <v>708768.03947199997</v>
      </c>
      <c r="AB46" s="319">
        <v>703877.53999964322</v>
      </c>
      <c r="AC46" s="426"/>
      <c r="AD46" s="319">
        <v>813569.11740674742</v>
      </c>
      <c r="AE46" s="319">
        <v>807630.06284967822</v>
      </c>
      <c r="AF46" s="319">
        <v>679053.76</v>
      </c>
      <c r="AG46" s="319">
        <v>712726.21814717771</v>
      </c>
      <c r="AH46" s="319">
        <v>707808.40724196215</v>
      </c>
      <c r="AI46" s="426"/>
      <c r="AJ46" s="319">
        <v>819253.48141727992</v>
      </c>
      <c r="AK46" s="319">
        <v>813272.93100293376</v>
      </c>
      <c r="AL46" s="319">
        <v>664631.36</v>
      </c>
      <c r="AM46" s="319">
        <v>714177.53142567212</v>
      </c>
      <c r="AN46" s="319">
        <v>709249.70645883493</v>
      </c>
      <c r="AO46" s="426"/>
      <c r="AP46" s="319">
        <v>816503.26657936047</v>
      </c>
      <c r="AQ46" s="319">
        <v>810542.79273333109</v>
      </c>
      <c r="AR46" s="319">
        <v>695407.2</v>
      </c>
      <c r="AS46" s="319">
        <v>719740.81955569633</v>
      </c>
      <c r="AT46" s="319">
        <v>714774.607900762</v>
      </c>
      <c r="AU46" s="426"/>
      <c r="AV46" s="422">
        <v>812004.25971592206</v>
      </c>
      <c r="AW46" s="422">
        <v>806076.62861999578</v>
      </c>
      <c r="AX46" s="422">
        <v>681900.96</v>
      </c>
      <c r="AY46" s="422">
        <v>708913.475826815</v>
      </c>
      <c r="AZ46" s="422">
        <v>704021.97284360998</v>
      </c>
      <c r="BA46" s="426"/>
      <c r="BB46" s="313">
        <f>'[1]9 регионов'!L160</f>
        <v>811827.31749857927</v>
      </c>
      <c r="BC46" s="313">
        <v>805900.97808083962</v>
      </c>
      <c r="BD46" s="313">
        <v>670488.80000000005</v>
      </c>
      <c r="BE46" s="314">
        <v>708115.85285490402</v>
      </c>
      <c r="BF46" s="314">
        <v>703229.85347020521</v>
      </c>
    </row>
    <row r="47" spans="1:58" ht="30.75" thickBot="1" x14ac:dyDescent="0.3">
      <c r="A47" s="372"/>
      <c r="B47" s="103" t="s">
        <v>285</v>
      </c>
      <c r="C47" s="99" t="s">
        <v>285</v>
      </c>
      <c r="D47" s="372"/>
      <c r="E47" s="374"/>
      <c r="F47" s="313"/>
      <c r="G47" s="313"/>
      <c r="H47" s="313"/>
      <c r="I47" s="319"/>
      <c r="J47" s="319"/>
      <c r="K47" s="427"/>
      <c r="L47" s="313"/>
      <c r="M47" s="313"/>
      <c r="N47" s="313"/>
      <c r="O47" s="319"/>
      <c r="P47" s="319"/>
      <c r="Q47" s="427"/>
      <c r="R47" s="324"/>
      <c r="S47" s="319"/>
      <c r="T47" s="319"/>
      <c r="U47" s="319"/>
      <c r="V47" s="319"/>
      <c r="W47" s="427"/>
      <c r="X47" s="319"/>
      <c r="Y47" s="319"/>
      <c r="Z47" s="319"/>
      <c r="AA47" s="319"/>
      <c r="AB47" s="319"/>
      <c r="AC47" s="427"/>
      <c r="AD47" s="319"/>
      <c r="AE47" s="319"/>
      <c r="AF47" s="319"/>
      <c r="AG47" s="319"/>
      <c r="AH47" s="319"/>
      <c r="AI47" s="427"/>
      <c r="AJ47" s="319"/>
      <c r="AK47" s="319"/>
      <c r="AL47" s="319"/>
      <c r="AM47" s="319"/>
      <c r="AN47" s="319"/>
      <c r="AO47" s="427"/>
      <c r="AP47" s="319"/>
      <c r="AQ47" s="319"/>
      <c r="AR47" s="319"/>
      <c r="AS47" s="319"/>
      <c r="AT47" s="319"/>
      <c r="AU47" s="427"/>
      <c r="AV47" s="422"/>
      <c r="AW47" s="422"/>
      <c r="AX47" s="422"/>
      <c r="AY47" s="422"/>
      <c r="AZ47" s="422"/>
      <c r="BA47" s="427"/>
      <c r="BB47" s="313"/>
      <c r="BC47" s="313"/>
      <c r="BD47" s="313"/>
      <c r="BE47" s="314"/>
      <c r="BF47" s="314"/>
    </row>
    <row r="48" spans="1:58" ht="15.75" customHeight="1" x14ac:dyDescent="0.25">
      <c r="A48" s="441"/>
      <c r="B48" s="442"/>
      <c r="C48" s="442"/>
      <c r="D48" s="442"/>
      <c r="E48" s="442"/>
      <c r="F48" s="442"/>
      <c r="G48" s="442"/>
      <c r="H48" s="442"/>
      <c r="I48" s="442"/>
      <c r="J48" s="442"/>
      <c r="K48" s="442"/>
      <c r="L48" s="442"/>
      <c r="M48" s="442"/>
      <c r="N48" s="442"/>
      <c r="O48" s="442"/>
      <c r="P48" s="442"/>
      <c r="Q48" s="442"/>
      <c r="R48" s="442"/>
      <c r="S48" s="442"/>
      <c r="T48" s="442"/>
      <c r="U48" s="442"/>
      <c r="V48" s="442"/>
      <c r="W48" s="442"/>
      <c r="X48" s="442"/>
      <c r="Y48" s="442"/>
      <c r="Z48" s="442"/>
      <c r="AA48" s="442"/>
      <c r="AB48" s="442"/>
      <c r="AC48" s="442"/>
      <c r="AD48" s="442"/>
      <c r="AE48" s="442"/>
      <c r="AF48" s="442"/>
      <c r="AG48" s="442"/>
      <c r="AH48" s="442"/>
      <c r="AI48" s="442"/>
      <c r="AJ48" s="442"/>
      <c r="AK48" s="442"/>
      <c r="AL48" s="442"/>
      <c r="AM48" s="442"/>
      <c r="AN48" s="442"/>
      <c r="AO48" s="442"/>
      <c r="AP48" s="442"/>
      <c r="AQ48" s="442"/>
      <c r="AR48" s="442"/>
      <c r="AS48" s="442"/>
      <c r="AT48" s="442"/>
      <c r="AU48" s="442"/>
      <c r="AV48" s="442"/>
      <c r="AW48" s="442"/>
      <c r="AX48" s="442"/>
      <c r="AY48" s="442"/>
      <c r="AZ48" s="442"/>
      <c r="BA48" s="442"/>
      <c r="BB48" s="442"/>
      <c r="BC48" s="442"/>
      <c r="BD48" s="442"/>
      <c r="BE48" s="420"/>
      <c r="BF48" s="420"/>
    </row>
    <row r="49" spans="1:58" ht="16.5" customHeight="1" thickBot="1" x14ac:dyDescent="0.3">
      <c r="A49" s="443"/>
      <c r="B49" s="444"/>
      <c r="C49" s="444"/>
      <c r="D49" s="444"/>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44"/>
      <c r="AT49" s="444"/>
      <c r="AU49" s="444"/>
      <c r="AV49" s="444"/>
      <c r="AW49" s="444"/>
      <c r="AX49" s="444"/>
      <c r="AY49" s="444"/>
      <c r="AZ49" s="444"/>
      <c r="BA49" s="444"/>
      <c r="BB49" s="444"/>
      <c r="BC49" s="444"/>
      <c r="BD49" s="444"/>
      <c r="BE49" s="421"/>
      <c r="BF49" s="421"/>
    </row>
    <row r="50" spans="1:58" ht="15.75" thickBot="1" x14ac:dyDescent="0.3">
      <c r="A50" s="334" t="s">
        <v>291</v>
      </c>
      <c r="B50" s="104" t="s">
        <v>292</v>
      </c>
      <c r="C50" s="105" t="s">
        <v>36</v>
      </c>
      <c r="D50" s="332" t="s">
        <v>132</v>
      </c>
      <c r="E50" s="334" t="s">
        <v>293</v>
      </c>
      <c r="F50" s="449">
        <v>199143.3927</v>
      </c>
      <c r="G50" s="383" t="s">
        <v>294</v>
      </c>
      <c r="H50" s="277">
        <v>193336.65</v>
      </c>
      <c r="I50" s="261">
        <v>195741.07800000001</v>
      </c>
      <c r="J50" s="416">
        <v>189242.47421040002</v>
      </c>
      <c r="K50" s="348"/>
      <c r="L50" s="313">
        <v>206582.37</v>
      </c>
      <c r="M50" s="312">
        <v>191729.1</v>
      </c>
      <c r="N50" s="313">
        <v>208102.05</v>
      </c>
      <c r="O50" s="322">
        <v>200396.064012066</v>
      </c>
      <c r="P50" s="312">
        <v>193742.91468686541</v>
      </c>
      <c r="Q50" s="275"/>
      <c r="R50" s="324">
        <v>210443.30238576166</v>
      </c>
      <c r="S50" s="313">
        <v>195312.42894422539</v>
      </c>
      <c r="T50" s="313">
        <v>193725</v>
      </c>
      <c r="U50" s="313">
        <v>202885.28859182884</v>
      </c>
      <c r="V50" s="313">
        <v>196149.49701058012</v>
      </c>
      <c r="W50" s="275"/>
      <c r="X50" s="313">
        <v>202729.65</v>
      </c>
      <c r="Y50" s="312">
        <v>188153.59</v>
      </c>
      <c r="Z50" s="313">
        <v>196456.5</v>
      </c>
      <c r="AA50" s="313">
        <v>197370.61113600002</v>
      </c>
      <c r="AB50" s="312">
        <v>190817.90684628481</v>
      </c>
      <c r="AC50" s="275"/>
      <c r="AD50" s="313">
        <v>205076.68</v>
      </c>
      <c r="AE50" s="312">
        <v>190331.67</v>
      </c>
      <c r="AF50" s="313">
        <v>193835.47500000001</v>
      </c>
      <c r="AG50" s="313">
        <v>199321.49548563667</v>
      </c>
      <c r="AH50" s="312">
        <v>192704.02183551353</v>
      </c>
      <c r="AI50" s="275"/>
      <c r="AJ50" s="313">
        <v>218537</v>
      </c>
      <c r="AK50" s="313">
        <v>202824.19</v>
      </c>
      <c r="AL50" s="313">
        <v>192180.375</v>
      </c>
      <c r="AM50" s="313">
        <v>204540.68189673603</v>
      </c>
      <c r="AN50" s="313">
        <v>197749.9312577644</v>
      </c>
      <c r="AO50" s="275"/>
      <c r="AP50" s="313">
        <v>203365.91</v>
      </c>
      <c r="AQ50" s="312">
        <v>188743.91</v>
      </c>
      <c r="AR50" s="313">
        <v>192958.42500000002</v>
      </c>
      <c r="AS50" s="313">
        <v>200292.05350999284</v>
      </c>
      <c r="AT50" s="313">
        <v>193642.35733346108</v>
      </c>
      <c r="AU50" s="275"/>
      <c r="AV50" s="313">
        <v>201291.07</v>
      </c>
      <c r="AW50" s="312">
        <v>186818.24</v>
      </c>
      <c r="AX50" s="313">
        <v>192284.09999999998</v>
      </c>
      <c r="AY50" s="313">
        <v>196896.72577422002</v>
      </c>
      <c r="AZ50" s="312">
        <v>190359.75447851591</v>
      </c>
      <c r="BA50" s="274"/>
      <c r="BB50" s="313">
        <f>'[1]9 регионов'!L157</f>
        <v>200861.68752473284</v>
      </c>
      <c r="BC50" s="312">
        <v>186419.73</v>
      </c>
      <c r="BD50" s="313">
        <v>193468.72500000001</v>
      </c>
      <c r="BE50" s="313">
        <v>196520.91045475201</v>
      </c>
      <c r="BF50" s="312">
        <v>189996.41622765423</v>
      </c>
    </row>
    <row r="51" spans="1:58" ht="30.75" thickBot="1" x14ac:dyDescent="0.3">
      <c r="A51" s="372"/>
      <c r="B51" s="99" t="s">
        <v>295</v>
      </c>
      <c r="C51" s="99" t="s">
        <v>295</v>
      </c>
      <c r="D51" s="333"/>
      <c r="E51" s="335"/>
      <c r="F51" s="448"/>
      <c r="G51" s="384"/>
      <c r="H51" s="279"/>
      <c r="I51" s="261"/>
      <c r="J51" s="416"/>
      <c r="K51" s="348"/>
      <c r="L51" s="313"/>
      <c r="M51" s="312"/>
      <c r="N51" s="313"/>
      <c r="O51" s="322"/>
      <c r="P51" s="312"/>
      <c r="Q51" s="275"/>
      <c r="R51" s="324"/>
      <c r="S51" s="313"/>
      <c r="T51" s="313"/>
      <c r="U51" s="313"/>
      <c r="V51" s="313"/>
      <c r="W51" s="275"/>
      <c r="X51" s="313"/>
      <c r="Y51" s="312"/>
      <c r="Z51" s="313"/>
      <c r="AA51" s="313"/>
      <c r="AB51" s="312"/>
      <c r="AC51" s="275"/>
      <c r="AD51" s="313"/>
      <c r="AE51" s="312"/>
      <c r="AF51" s="313"/>
      <c r="AG51" s="313"/>
      <c r="AH51" s="312"/>
      <c r="AI51" s="275"/>
      <c r="AJ51" s="313"/>
      <c r="AK51" s="313"/>
      <c r="AL51" s="313"/>
      <c r="AM51" s="313"/>
      <c r="AN51" s="313"/>
      <c r="AO51" s="275"/>
      <c r="AP51" s="313"/>
      <c r="AQ51" s="312"/>
      <c r="AR51" s="313"/>
      <c r="AS51" s="313"/>
      <c r="AT51" s="313"/>
      <c r="AU51" s="275"/>
      <c r="AV51" s="313"/>
      <c r="AW51" s="312"/>
      <c r="AX51" s="313"/>
      <c r="AY51" s="313"/>
      <c r="AZ51" s="312"/>
      <c r="BA51" s="275"/>
      <c r="BB51" s="313"/>
      <c r="BC51" s="312"/>
      <c r="BD51" s="318"/>
      <c r="BE51" s="313"/>
      <c r="BF51" s="312"/>
    </row>
    <row r="52" spans="1:58" ht="15.75" thickBot="1" x14ac:dyDescent="0.3">
      <c r="A52" s="417" t="s">
        <v>296</v>
      </c>
      <c r="B52" s="106" t="s">
        <v>297</v>
      </c>
      <c r="C52" s="24" t="s">
        <v>38</v>
      </c>
      <c r="D52" s="411" t="s">
        <v>141</v>
      </c>
      <c r="E52" s="358" t="s">
        <v>293</v>
      </c>
      <c r="F52" s="379">
        <v>313844.35740000004</v>
      </c>
      <c r="G52" s="383">
        <v>307912.69904514001</v>
      </c>
      <c r="H52" s="277">
        <v>340949.84</v>
      </c>
      <c r="I52" s="261">
        <v>336179.84399999998</v>
      </c>
      <c r="J52" s="416">
        <v>330969.05641799996</v>
      </c>
      <c r="K52" s="348"/>
      <c r="L52" s="313">
        <v>319676.94</v>
      </c>
      <c r="M52" s="312">
        <v>313635.04583399999</v>
      </c>
      <c r="N52" s="313">
        <v>336866.56</v>
      </c>
      <c r="O52" s="322">
        <v>342066.98185159505</v>
      </c>
      <c r="P52" s="312">
        <v>336764.9436328953</v>
      </c>
      <c r="Q52" s="275"/>
      <c r="R52" s="324">
        <v>318525.35058216605</v>
      </c>
      <c r="S52" s="312">
        <v>312505.2214561631</v>
      </c>
      <c r="T52" s="313">
        <v>340949.84</v>
      </c>
      <c r="U52" s="313">
        <v>343665.67713443656</v>
      </c>
      <c r="V52" s="312">
        <v>338338.8591388528</v>
      </c>
      <c r="W52" s="275"/>
      <c r="X52" s="313">
        <v>315337.62</v>
      </c>
      <c r="Y52" s="312">
        <v>309377.73898199998</v>
      </c>
      <c r="Z52" s="313">
        <v>340950.4</v>
      </c>
      <c r="AA52" s="313">
        <v>337490.88912000001</v>
      </c>
      <c r="AB52" s="312">
        <v>332259.78033864003</v>
      </c>
      <c r="AC52" s="275"/>
      <c r="AD52" s="313">
        <v>316302.03000000003</v>
      </c>
      <c r="AE52" s="312">
        <v>310323.92163300002</v>
      </c>
      <c r="AF52" s="313">
        <v>339526.88</v>
      </c>
      <c r="AG52" s="313">
        <v>339852.24517560616</v>
      </c>
      <c r="AH52" s="312">
        <v>334584.53537538426</v>
      </c>
      <c r="AI52" s="275"/>
      <c r="AJ52" s="313">
        <v>321915.69104544003</v>
      </c>
      <c r="AK52" s="312">
        <v>315831.48448468122</v>
      </c>
      <c r="AL52" s="313">
        <v>332315.68</v>
      </c>
      <c r="AM52" s="313">
        <v>343247.46953111998</v>
      </c>
      <c r="AN52" s="313">
        <v>337927.13375338761</v>
      </c>
      <c r="AO52" s="275"/>
      <c r="AP52" s="313">
        <v>316749.34000000003</v>
      </c>
      <c r="AQ52" s="312">
        <v>310762.777474</v>
      </c>
      <c r="AR52" s="313">
        <v>347703.6</v>
      </c>
      <c r="AS52" s="313">
        <v>342640.41040431976</v>
      </c>
      <c r="AT52" s="312">
        <v>337329.48404305283</v>
      </c>
      <c r="AU52" s="275"/>
      <c r="AV52" s="313">
        <v>314733.96999999997</v>
      </c>
      <c r="AW52" s="312">
        <v>308785.49796699994</v>
      </c>
      <c r="AX52" s="313">
        <v>340950.48</v>
      </c>
      <c r="AY52" s="313">
        <v>337271.25874365005</v>
      </c>
      <c r="AZ52" s="312">
        <v>332043.55423312349</v>
      </c>
      <c r="BA52" s="275"/>
      <c r="BB52" s="313">
        <f>'[1]9 регионов'!L158</f>
        <v>314556.29050604161</v>
      </c>
      <c r="BC52" s="312">
        <v>308611.17611899995</v>
      </c>
      <c r="BD52" s="313">
        <v>335244.40000000002</v>
      </c>
      <c r="BE52" s="313">
        <v>336805.13850983995</v>
      </c>
      <c r="BF52" s="312">
        <v>331584.65886293742</v>
      </c>
    </row>
    <row r="53" spans="1:58" ht="30.75" thickBot="1" x14ac:dyDescent="0.3">
      <c r="A53" s="331"/>
      <c r="B53" s="107" t="s">
        <v>298</v>
      </c>
      <c r="C53" s="107" t="s">
        <v>298</v>
      </c>
      <c r="D53" s="333"/>
      <c r="E53" s="335"/>
      <c r="F53" s="380"/>
      <c r="G53" s="384"/>
      <c r="H53" s="279"/>
      <c r="I53" s="261"/>
      <c r="J53" s="416"/>
      <c r="K53" s="360"/>
      <c r="L53" s="313"/>
      <c r="M53" s="312"/>
      <c r="N53" s="313"/>
      <c r="O53" s="322"/>
      <c r="P53" s="312"/>
      <c r="Q53" s="276"/>
      <c r="R53" s="324"/>
      <c r="S53" s="312"/>
      <c r="T53" s="313"/>
      <c r="U53" s="313"/>
      <c r="V53" s="312"/>
      <c r="W53" s="276"/>
      <c r="X53" s="313"/>
      <c r="Y53" s="312"/>
      <c r="Z53" s="313"/>
      <c r="AA53" s="313"/>
      <c r="AB53" s="312"/>
      <c r="AC53" s="276"/>
      <c r="AD53" s="313"/>
      <c r="AE53" s="312"/>
      <c r="AF53" s="313"/>
      <c r="AG53" s="313"/>
      <c r="AH53" s="312"/>
      <c r="AI53" s="276"/>
      <c r="AJ53" s="313"/>
      <c r="AK53" s="312"/>
      <c r="AL53" s="313"/>
      <c r="AM53" s="313"/>
      <c r="AN53" s="313"/>
      <c r="AO53" s="276"/>
      <c r="AP53" s="313"/>
      <c r="AQ53" s="312"/>
      <c r="AR53" s="313"/>
      <c r="AS53" s="313"/>
      <c r="AT53" s="312"/>
      <c r="AU53" s="276"/>
      <c r="AV53" s="313"/>
      <c r="AW53" s="312"/>
      <c r="AX53" s="313"/>
      <c r="AY53" s="313"/>
      <c r="AZ53" s="312"/>
      <c r="BA53" s="276"/>
      <c r="BB53" s="313"/>
      <c r="BC53" s="312"/>
      <c r="BD53" s="318"/>
      <c r="BE53" s="313"/>
      <c r="BF53" s="312"/>
    </row>
    <row r="54" spans="1:58" ht="15.75" customHeight="1" x14ac:dyDescent="0.25">
      <c r="A54" s="326"/>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7"/>
      <c r="AJ54" s="327"/>
      <c r="AK54" s="327"/>
      <c r="AL54" s="327"/>
      <c r="AM54" s="327"/>
      <c r="AN54" s="327"/>
      <c r="AO54" s="327"/>
      <c r="AP54" s="327"/>
      <c r="AQ54" s="327"/>
      <c r="AR54" s="327"/>
      <c r="AS54" s="327"/>
      <c r="AT54" s="327"/>
      <c r="AU54" s="327"/>
      <c r="AV54" s="327"/>
      <c r="AW54" s="327"/>
      <c r="AX54" s="327"/>
      <c r="AY54" s="327"/>
      <c r="AZ54" s="327"/>
      <c r="BA54" s="327"/>
      <c r="BB54" s="327"/>
      <c r="BC54" s="327"/>
      <c r="BD54" s="327"/>
      <c r="BE54" s="100"/>
      <c r="BF54" s="100"/>
    </row>
    <row r="55" spans="1:58" ht="16.5" customHeight="1" thickBot="1" x14ac:dyDescent="0.3">
      <c r="A55" s="328"/>
      <c r="B55" s="329"/>
      <c r="C55" s="329"/>
      <c r="D55" s="329"/>
      <c r="E55" s="329"/>
      <c r="F55" s="329"/>
      <c r="G55" s="329"/>
      <c r="H55" s="329"/>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29"/>
      <c r="AY55" s="329"/>
      <c r="AZ55" s="329"/>
      <c r="BA55" s="329"/>
      <c r="BB55" s="329"/>
      <c r="BC55" s="329"/>
      <c r="BD55" s="329"/>
      <c r="BE55" s="108"/>
      <c r="BF55" s="108"/>
    </row>
    <row r="56" spans="1:58" ht="16.5" customHeight="1" thickBot="1" x14ac:dyDescent="0.3">
      <c r="A56" s="337" t="s">
        <v>291</v>
      </c>
      <c r="B56" s="134" t="s">
        <v>292</v>
      </c>
      <c r="C56" s="105" t="s">
        <v>36</v>
      </c>
      <c r="D56" s="339" t="s">
        <v>132</v>
      </c>
      <c r="E56" s="341" t="s">
        <v>300</v>
      </c>
      <c r="F56" s="445">
        <v>199143.3927</v>
      </c>
      <c r="G56" s="383" t="s">
        <v>294</v>
      </c>
      <c r="H56" s="446">
        <f>8592.74*22.5</f>
        <v>193336.65</v>
      </c>
      <c r="I56" s="313">
        <v>195741.07800000001</v>
      </c>
      <c r="J56" s="312">
        <v>189242.47421040002</v>
      </c>
      <c r="K56" s="133"/>
      <c r="L56" s="313">
        <v>206582.37</v>
      </c>
      <c r="M56" s="312">
        <v>191729.1</v>
      </c>
      <c r="N56" s="314">
        <f>9248.98*22.5</f>
        <v>208102.05</v>
      </c>
      <c r="O56" s="322">
        <v>200396.064012066</v>
      </c>
      <c r="P56" s="312">
        <v>193742.91468686541</v>
      </c>
      <c r="Q56" s="133"/>
      <c r="R56" s="324">
        <v>210443.30238576166</v>
      </c>
      <c r="S56" s="313">
        <v>195312.42894422539</v>
      </c>
      <c r="T56" s="314">
        <f>8610*22.5</f>
        <v>193725</v>
      </c>
      <c r="U56" s="313">
        <v>202885.28859182884</v>
      </c>
      <c r="V56" s="313">
        <v>196149.49701058012</v>
      </c>
      <c r="W56" s="133"/>
      <c r="X56" s="313">
        <v>202729.65</v>
      </c>
      <c r="Y56" s="312">
        <v>188153.59</v>
      </c>
      <c r="Z56" s="314">
        <f>8731.4*22.5</f>
        <v>196456.5</v>
      </c>
      <c r="AA56" s="313">
        <v>197370.61113600002</v>
      </c>
      <c r="AB56" s="312">
        <v>190817.90684628481</v>
      </c>
      <c r="AC56" s="133"/>
      <c r="AD56" s="313">
        <v>205076.68</v>
      </c>
      <c r="AE56" s="312">
        <v>190331.67</v>
      </c>
      <c r="AF56" s="314">
        <f>8614.91*22.5</f>
        <v>193835.47500000001</v>
      </c>
      <c r="AG56" s="313">
        <v>199321.49548563667</v>
      </c>
      <c r="AH56" s="312">
        <v>192704.02183551353</v>
      </c>
      <c r="AI56" s="133"/>
      <c r="AJ56" s="313">
        <v>218537</v>
      </c>
      <c r="AK56" s="313">
        <v>202824.19</v>
      </c>
      <c r="AL56" s="314">
        <f>8541.35*22.5</f>
        <v>192180.375</v>
      </c>
      <c r="AM56" s="313">
        <v>204540.68189673603</v>
      </c>
      <c r="AN56" s="317">
        <v>197749.9312577644</v>
      </c>
      <c r="AO56" s="133"/>
      <c r="AP56" s="313">
        <v>203365.91</v>
      </c>
      <c r="AQ56" s="312">
        <v>188743.91</v>
      </c>
      <c r="AR56" s="314">
        <f>8575.93*22.5</f>
        <v>192958.42500000002</v>
      </c>
      <c r="AS56" s="313">
        <v>200292.05350999284</v>
      </c>
      <c r="AT56" s="313">
        <v>193642.35733346108</v>
      </c>
      <c r="AU56" s="133"/>
      <c r="AV56" s="313">
        <v>201291.07</v>
      </c>
      <c r="AW56" s="312">
        <v>186818.24</v>
      </c>
      <c r="AX56" s="314">
        <f>8545.96*22.5</f>
        <v>192284.09999999998</v>
      </c>
      <c r="AY56" s="313">
        <v>196896.72577422002</v>
      </c>
      <c r="AZ56" s="312">
        <v>190359.75447851591</v>
      </c>
      <c r="BA56" s="298"/>
      <c r="BB56" s="313">
        <v>200861.68752473284</v>
      </c>
      <c r="BC56" s="312">
        <v>186419.73</v>
      </c>
      <c r="BD56" s="314">
        <f>8598.61*22.5</f>
        <v>193468.72500000001</v>
      </c>
      <c r="BE56" s="313">
        <v>196520.91045475201</v>
      </c>
      <c r="BF56" s="312">
        <v>189996.41622765423</v>
      </c>
    </row>
    <row r="57" spans="1:58" ht="28.5" customHeight="1" thickBot="1" x14ac:dyDescent="0.3">
      <c r="A57" s="338"/>
      <c r="B57" s="135" t="s">
        <v>295</v>
      </c>
      <c r="C57" s="135" t="s">
        <v>295</v>
      </c>
      <c r="D57" s="340"/>
      <c r="E57" s="342"/>
      <c r="F57" s="448"/>
      <c r="G57" s="384"/>
      <c r="H57" s="447"/>
      <c r="I57" s="313"/>
      <c r="J57" s="312"/>
      <c r="K57" s="133"/>
      <c r="L57" s="313"/>
      <c r="M57" s="312"/>
      <c r="N57" s="314"/>
      <c r="O57" s="322"/>
      <c r="P57" s="312"/>
      <c r="Q57" s="133"/>
      <c r="R57" s="324"/>
      <c r="S57" s="313"/>
      <c r="T57" s="314"/>
      <c r="U57" s="313"/>
      <c r="V57" s="313"/>
      <c r="W57" s="133"/>
      <c r="X57" s="313"/>
      <c r="Y57" s="312"/>
      <c r="Z57" s="314"/>
      <c r="AA57" s="313"/>
      <c r="AB57" s="312"/>
      <c r="AC57" s="133"/>
      <c r="AD57" s="313"/>
      <c r="AE57" s="312"/>
      <c r="AF57" s="314"/>
      <c r="AG57" s="313"/>
      <c r="AH57" s="312"/>
      <c r="AI57" s="133"/>
      <c r="AJ57" s="313"/>
      <c r="AK57" s="313"/>
      <c r="AL57" s="314"/>
      <c r="AM57" s="313"/>
      <c r="AN57" s="317"/>
      <c r="AO57" s="133"/>
      <c r="AP57" s="313"/>
      <c r="AQ57" s="312"/>
      <c r="AR57" s="314"/>
      <c r="AS57" s="313"/>
      <c r="AT57" s="313"/>
      <c r="AU57" s="133"/>
      <c r="AV57" s="313"/>
      <c r="AW57" s="312"/>
      <c r="AX57" s="314"/>
      <c r="AY57" s="313"/>
      <c r="AZ57" s="312"/>
      <c r="BA57" s="299"/>
      <c r="BB57" s="313"/>
      <c r="BC57" s="312"/>
      <c r="BD57" s="314"/>
      <c r="BE57" s="313"/>
      <c r="BF57" s="312"/>
    </row>
    <row r="58" spans="1:58" ht="15.75" thickBot="1" x14ac:dyDescent="0.3">
      <c r="A58" s="330" t="s">
        <v>291</v>
      </c>
      <c r="B58" s="109" t="s">
        <v>299</v>
      </c>
      <c r="C58" s="110" t="s">
        <v>36</v>
      </c>
      <c r="D58" s="332" t="s">
        <v>135</v>
      </c>
      <c r="E58" s="334" t="s">
        <v>300</v>
      </c>
      <c r="F58" s="407">
        <v>199143.3927</v>
      </c>
      <c r="G58" s="383" t="s">
        <v>294</v>
      </c>
      <c r="H58" s="296">
        <v>206225.76</v>
      </c>
      <c r="I58" s="313">
        <v>195741.07800000001</v>
      </c>
      <c r="J58" s="312">
        <v>189242.47421040002</v>
      </c>
      <c r="K58" s="275"/>
      <c r="L58" s="313">
        <v>206582.37</v>
      </c>
      <c r="M58" s="312">
        <v>191729.1</v>
      </c>
      <c r="N58" s="313">
        <v>221975.52</v>
      </c>
      <c r="O58" s="322">
        <v>200396.064012066</v>
      </c>
      <c r="P58" s="312">
        <v>193742.91468686541</v>
      </c>
      <c r="Q58" s="275"/>
      <c r="R58" s="322">
        <v>210443.30238576166</v>
      </c>
      <c r="S58" s="312">
        <v>195312.42894422539</v>
      </c>
      <c r="T58" s="313">
        <v>206640</v>
      </c>
      <c r="U58" s="313">
        <v>202885.28859182884</v>
      </c>
      <c r="V58" s="312">
        <v>196149.49701058012</v>
      </c>
      <c r="W58" s="275"/>
      <c r="X58" s="313">
        <v>202729.65</v>
      </c>
      <c r="Y58" s="312">
        <v>188153.59</v>
      </c>
      <c r="Z58" s="313">
        <v>209553.59999999998</v>
      </c>
      <c r="AA58" s="313">
        <v>197370.61113600002</v>
      </c>
      <c r="AB58" s="312">
        <v>190817.90684628481</v>
      </c>
      <c r="AC58" s="275"/>
      <c r="AD58" s="313">
        <v>205076.68</v>
      </c>
      <c r="AE58" s="312">
        <v>190331.67</v>
      </c>
      <c r="AF58" s="313">
        <v>206757.84</v>
      </c>
      <c r="AG58" s="313">
        <v>199321.49548563667</v>
      </c>
      <c r="AH58" s="312">
        <v>192704.02183551353</v>
      </c>
      <c r="AI58" s="275"/>
      <c r="AJ58" s="313">
        <v>218537</v>
      </c>
      <c r="AK58" s="312">
        <v>202824.19</v>
      </c>
      <c r="AL58" s="313">
        <v>204992.40000000002</v>
      </c>
      <c r="AM58" s="313">
        <v>204540.68189673603</v>
      </c>
      <c r="AN58" s="312">
        <v>197749.9312577644</v>
      </c>
      <c r="AO58" s="275"/>
      <c r="AP58" s="313">
        <v>203365.91</v>
      </c>
      <c r="AQ58" s="312">
        <v>188743.91</v>
      </c>
      <c r="AR58" s="313">
        <v>205822.32</v>
      </c>
      <c r="AS58" s="313">
        <v>200292.05350999284</v>
      </c>
      <c r="AT58" s="312">
        <v>193642.35733346108</v>
      </c>
      <c r="AU58" s="275"/>
      <c r="AV58" s="313">
        <v>201291.07</v>
      </c>
      <c r="AW58" s="312">
        <v>186818.24</v>
      </c>
      <c r="AX58" s="313">
        <v>205103.03999999998</v>
      </c>
      <c r="AY58" s="313">
        <v>196896.72577422002</v>
      </c>
      <c r="AZ58" s="312">
        <v>190359.75447851591</v>
      </c>
      <c r="BA58" s="299"/>
      <c r="BB58" s="313">
        <f>BB50</f>
        <v>200861.68752473284</v>
      </c>
      <c r="BC58" s="312">
        <v>186419.73</v>
      </c>
      <c r="BD58" s="313">
        <v>206366.64</v>
      </c>
      <c r="BE58" s="313">
        <v>196520.91045475201</v>
      </c>
      <c r="BF58" s="312">
        <v>189996.41622765423</v>
      </c>
    </row>
    <row r="59" spans="1:58" ht="30.75" thickBot="1" x14ac:dyDescent="0.3">
      <c r="A59" s="331"/>
      <c r="B59" s="107" t="s">
        <v>301</v>
      </c>
      <c r="C59" s="107" t="s">
        <v>301</v>
      </c>
      <c r="D59" s="333"/>
      <c r="E59" s="335"/>
      <c r="F59" s="409"/>
      <c r="G59" s="384"/>
      <c r="H59" s="297"/>
      <c r="I59" s="313"/>
      <c r="J59" s="312"/>
      <c r="K59" s="275"/>
      <c r="L59" s="313"/>
      <c r="M59" s="312"/>
      <c r="N59" s="313"/>
      <c r="O59" s="322"/>
      <c r="P59" s="312"/>
      <c r="Q59" s="275"/>
      <c r="R59" s="322"/>
      <c r="S59" s="312"/>
      <c r="T59" s="313"/>
      <c r="U59" s="313"/>
      <c r="V59" s="312"/>
      <c r="W59" s="275"/>
      <c r="X59" s="313"/>
      <c r="Y59" s="312"/>
      <c r="Z59" s="313"/>
      <c r="AA59" s="313"/>
      <c r="AB59" s="312"/>
      <c r="AC59" s="275"/>
      <c r="AD59" s="313"/>
      <c r="AE59" s="312"/>
      <c r="AF59" s="313"/>
      <c r="AG59" s="313"/>
      <c r="AH59" s="312"/>
      <c r="AI59" s="275"/>
      <c r="AJ59" s="313"/>
      <c r="AK59" s="312"/>
      <c r="AL59" s="313"/>
      <c r="AM59" s="313"/>
      <c r="AN59" s="312"/>
      <c r="AO59" s="275"/>
      <c r="AP59" s="313"/>
      <c r="AQ59" s="312"/>
      <c r="AR59" s="313"/>
      <c r="AS59" s="313"/>
      <c r="AT59" s="312"/>
      <c r="AU59" s="275"/>
      <c r="AV59" s="313"/>
      <c r="AW59" s="312"/>
      <c r="AX59" s="313"/>
      <c r="AY59" s="313"/>
      <c r="AZ59" s="312"/>
      <c r="BA59" s="299"/>
      <c r="BB59" s="313"/>
      <c r="BC59" s="312"/>
      <c r="BD59" s="318"/>
      <c r="BE59" s="313"/>
      <c r="BF59" s="312"/>
    </row>
    <row r="60" spans="1:58" ht="15.75" thickBot="1" x14ac:dyDescent="0.3">
      <c r="A60" s="343" t="s">
        <v>280</v>
      </c>
      <c r="B60" s="132" t="s">
        <v>281</v>
      </c>
      <c r="C60" s="24" t="s">
        <v>39</v>
      </c>
      <c r="D60" s="343" t="s">
        <v>144</v>
      </c>
      <c r="E60" s="344" t="s">
        <v>300</v>
      </c>
      <c r="F60" s="379">
        <v>419631.9547</v>
      </c>
      <c r="G60" s="383">
        <v>409392.93500532</v>
      </c>
      <c r="H60" s="277">
        <v>412451.52</v>
      </c>
      <c r="I60" s="319">
        <v>417192.88</v>
      </c>
      <c r="J60" s="321">
        <v>412228.284728</v>
      </c>
      <c r="K60" s="275"/>
      <c r="L60" s="313">
        <v>428247.92353028402</v>
      </c>
      <c r="M60" s="312">
        <v>417798.67419614509</v>
      </c>
      <c r="N60" s="313">
        <v>443951.04</v>
      </c>
      <c r="O60" s="319">
        <v>423966.72526962002</v>
      </c>
      <c r="P60" s="321">
        <v>418921.52123891155</v>
      </c>
      <c r="Q60" s="275"/>
      <c r="R60" s="324">
        <v>427712.22435307299</v>
      </c>
      <c r="S60" s="319">
        <v>417276.04607885802</v>
      </c>
      <c r="T60" s="319">
        <v>413280</v>
      </c>
      <c r="U60" s="319">
        <v>425275.1250107176</v>
      </c>
      <c r="V60" s="319">
        <v>420214.35102309007</v>
      </c>
      <c r="W60" s="275"/>
      <c r="X60" s="319">
        <v>422205.56895300001</v>
      </c>
      <c r="Y60" s="321">
        <v>411903.75307054678</v>
      </c>
      <c r="Z60" s="319">
        <v>419107.19999999995</v>
      </c>
      <c r="AA60" s="319">
        <v>418444.37952000002</v>
      </c>
      <c r="AB60" s="321">
        <v>413464.89140371204</v>
      </c>
      <c r="AC60" s="275"/>
      <c r="AD60" s="319">
        <v>423874.46233470849</v>
      </c>
      <c r="AE60" s="319">
        <v>413531.92545374157</v>
      </c>
      <c r="AF60" s="319">
        <v>413515.68</v>
      </c>
      <c r="AG60" s="319">
        <v>421125.09264016704</v>
      </c>
      <c r="AH60" s="319">
        <v>416113.70403774903</v>
      </c>
      <c r="AI60" s="275"/>
      <c r="AJ60" s="319">
        <v>433544.77956672007</v>
      </c>
      <c r="AK60" s="319">
        <v>422966.28694529209</v>
      </c>
      <c r="AL60" s="319">
        <v>409984.80000000005</v>
      </c>
      <c r="AM60" s="319">
        <v>423932.97557151993</v>
      </c>
      <c r="AN60" s="319">
        <v>418888.17316221882</v>
      </c>
      <c r="AO60" s="275"/>
      <c r="AP60" s="319">
        <v>424036.39017445332</v>
      </c>
      <c r="AQ60" s="319">
        <v>413689.90225419664</v>
      </c>
      <c r="AR60" s="314">
        <f>8575.93*48</f>
        <v>411644.64</v>
      </c>
      <c r="AS60" s="319">
        <v>424868.16245129704</v>
      </c>
      <c r="AT60" s="319">
        <v>419812.23131812661</v>
      </c>
      <c r="AU60" s="275"/>
      <c r="AV60" s="319">
        <v>421167.62809942808</v>
      </c>
      <c r="AW60" s="319">
        <v>410891.13797380205</v>
      </c>
      <c r="AX60" s="319">
        <v>410206.07999999996</v>
      </c>
      <c r="AY60" s="319">
        <v>418321.81394539995</v>
      </c>
      <c r="AZ60" s="319">
        <v>413343.7843594497</v>
      </c>
      <c r="BA60" s="299"/>
      <c r="BB60" s="313">
        <v>420860.81648718088</v>
      </c>
      <c r="BC60" s="312">
        <v>410591.81256489368</v>
      </c>
      <c r="BD60" s="313">
        <v>412733.28</v>
      </c>
      <c r="BE60" s="314">
        <v>417788.63143264002</v>
      </c>
      <c r="BF60" s="314">
        <v>412816.94671859161</v>
      </c>
    </row>
    <row r="61" spans="1:58" ht="30.75" thickBot="1" x14ac:dyDescent="0.3">
      <c r="A61" s="338"/>
      <c r="B61" s="135" t="s">
        <v>282</v>
      </c>
      <c r="C61" s="135" t="s">
        <v>282</v>
      </c>
      <c r="D61" s="338"/>
      <c r="E61" s="342"/>
      <c r="F61" s="380"/>
      <c r="G61" s="384"/>
      <c r="H61" s="279"/>
      <c r="I61" s="319"/>
      <c r="J61" s="321"/>
      <c r="K61" s="275"/>
      <c r="L61" s="313"/>
      <c r="M61" s="312"/>
      <c r="N61" s="313"/>
      <c r="O61" s="319"/>
      <c r="P61" s="321"/>
      <c r="Q61" s="275"/>
      <c r="R61" s="324"/>
      <c r="S61" s="319"/>
      <c r="T61" s="319"/>
      <c r="U61" s="319"/>
      <c r="V61" s="319"/>
      <c r="W61" s="275"/>
      <c r="X61" s="319"/>
      <c r="Y61" s="321"/>
      <c r="Z61" s="319"/>
      <c r="AA61" s="319"/>
      <c r="AB61" s="321"/>
      <c r="AC61" s="275"/>
      <c r="AD61" s="319"/>
      <c r="AE61" s="319"/>
      <c r="AF61" s="319"/>
      <c r="AG61" s="319"/>
      <c r="AH61" s="319"/>
      <c r="AI61" s="275"/>
      <c r="AJ61" s="319"/>
      <c r="AK61" s="319"/>
      <c r="AL61" s="319"/>
      <c r="AM61" s="319"/>
      <c r="AN61" s="319"/>
      <c r="AO61" s="275"/>
      <c r="AP61" s="319"/>
      <c r="AQ61" s="319"/>
      <c r="AR61" s="314"/>
      <c r="AS61" s="319"/>
      <c r="AT61" s="319"/>
      <c r="AU61" s="275"/>
      <c r="AV61" s="319"/>
      <c r="AW61" s="319"/>
      <c r="AX61" s="319"/>
      <c r="AY61" s="319"/>
      <c r="AZ61" s="319"/>
      <c r="BA61" s="299"/>
      <c r="BB61" s="313"/>
      <c r="BC61" s="312"/>
      <c r="BD61" s="318"/>
      <c r="BE61" s="314"/>
      <c r="BF61" s="314"/>
    </row>
    <row r="62" spans="1:58" ht="15.75" thickBot="1" x14ac:dyDescent="0.3">
      <c r="A62" s="417" t="s">
        <v>296</v>
      </c>
      <c r="B62" s="106" t="s">
        <v>297</v>
      </c>
      <c r="C62" s="24" t="s">
        <v>38</v>
      </c>
      <c r="D62" s="356" t="s">
        <v>141</v>
      </c>
      <c r="E62" s="358" t="s">
        <v>300</v>
      </c>
      <c r="F62" s="449">
        <v>313844.35740000004</v>
      </c>
      <c r="G62" s="383">
        <v>307912.69904514001</v>
      </c>
      <c r="H62" s="275">
        <v>340949.84</v>
      </c>
      <c r="I62" s="313">
        <v>336179.84399999998</v>
      </c>
      <c r="J62" s="312">
        <v>330969.05641799996</v>
      </c>
      <c r="K62" s="275"/>
      <c r="L62" s="313">
        <v>319676.94</v>
      </c>
      <c r="M62" s="312">
        <v>313635.04583399999</v>
      </c>
      <c r="N62" s="313">
        <v>336866.56</v>
      </c>
      <c r="O62" s="322">
        <v>342066.98185159505</v>
      </c>
      <c r="P62" s="312">
        <v>336764.9436328953</v>
      </c>
      <c r="Q62" s="275"/>
      <c r="R62" s="322">
        <v>318525.35058216605</v>
      </c>
      <c r="S62" s="312">
        <v>312505.2214561631</v>
      </c>
      <c r="T62" s="313">
        <v>340949.84</v>
      </c>
      <c r="U62" s="313">
        <v>343665.67713443656</v>
      </c>
      <c r="V62" s="312">
        <v>338338.8591388528</v>
      </c>
      <c r="W62" s="275"/>
      <c r="X62" s="313">
        <v>315337.62</v>
      </c>
      <c r="Y62" s="312">
        <v>309377.73898199998</v>
      </c>
      <c r="Z62" s="313">
        <v>340950.4</v>
      </c>
      <c r="AA62" s="313">
        <v>337490.88912000001</v>
      </c>
      <c r="AB62" s="312">
        <v>332259.78033864003</v>
      </c>
      <c r="AC62" s="275"/>
      <c r="AD62" s="313">
        <v>316302.03000000003</v>
      </c>
      <c r="AE62" s="312">
        <v>310323.92163300002</v>
      </c>
      <c r="AF62" s="313">
        <v>339526.88</v>
      </c>
      <c r="AG62" s="313">
        <v>339852.24517560616</v>
      </c>
      <c r="AH62" s="312">
        <v>334584.53537538426</v>
      </c>
      <c r="AI62" s="275"/>
      <c r="AJ62" s="313">
        <v>321915.69104544003</v>
      </c>
      <c r="AK62" s="312">
        <v>315831.48448468122</v>
      </c>
      <c r="AL62" s="313">
        <v>332315.68</v>
      </c>
      <c r="AM62" s="313">
        <v>343247.46953111998</v>
      </c>
      <c r="AN62" s="313">
        <v>337927.13375338761</v>
      </c>
      <c r="AO62" s="275"/>
      <c r="AP62" s="313">
        <v>316749.34000000003</v>
      </c>
      <c r="AQ62" s="312">
        <v>310762.777474</v>
      </c>
      <c r="AR62" s="313">
        <v>347703.6</v>
      </c>
      <c r="AS62" s="313">
        <v>342640.41040431976</v>
      </c>
      <c r="AT62" s="312">
        <v>337329.48404305283</v>
      </c>
      <c r="AU62" s="275"/>
      <c r="AV62" s="313">
        <v>314733.96999999997</v>
      </c>
      <c r="AW62" s="312">
        <v>308785.49796699994</v>
      </c>
      <c r="AX62" s="313">
        <v>340950.48</v>
      </c>
      <c r="AY62" s="313">
        <v>337271.25874365005</v>
      </c>
      <c r="AZ62" s="312">
        <v>332043.55423312349</v>
      </c>
      <c r="BA62" s="299"/>
      <c r="BB62" s="313">
        <f>BB52</f>
        <v>314556.29050604161</v>
      </c>
      <c r="BC62" s="312">
        <v>308611.17611899995</v>
      </c>
      <c r="BD62" s="313">
        <v>335244.40000000002</v>
      </c>
      <c r="BE62" s="313">
        <v>336805.13850983995</v>
      </c>
      <c r="BF62" s="312">
        <v>331584.65886293742</v>
      </c>
    </row>
    <row r="63" spans="1:58" ht="30.75" thickBot="1" x14ac:dyDescent="0.3">
      <c r="A63" s="331"/>
      <c r="B63" s="107" t="s">
        <v>298</v>
      </c>
      <c r="C63" s="107" t="s">
        <v>298</v>
      </c>
      <c r="D63" s="357"/>
      <c r="E63" s="335"/>
      <c r="F63" s="450"/>
      <c r="G63" s="384"/>
      <c r="H63" s="276"/>
      <c r="I63" s="313"/>
      <c r="J63" s="312"/>
      <c r="K63" s="276"/>
      <c r="L63" s="313"/>
      <c r="M63" s="312"/>
      <c r="N63" s="313"/>
      <c r="O63" s="322"/>
      <c r="P63" s="312"/>
      <c r="Q63" s="276"/>
      <c r="R63" s="322"/>
      <c r="S63" s="312"/>
      <c r="T63" s="313"/>
      <c r="U63" s="313"/>
      <c r="V63" s="312"/>
      <c r="W63" s="276"/>
      <c r="X63" s="313"/>
      <c r="Y63" s="312"/>
      <c r="Z63" s="313"/>
      <c r="AA63" s="313"/>
      <c r="AB63" s="312"/>
      <c r="AC63" s="276"/>
      <c r="AD63" s="313"/>
      <c r="AE63" s="312"/>
      <c r="AF63" s="313"/>
      <c r="AG63" s="313"/>
      <c r="AH63" s="312"/>
      <c r="AI63" s="276"/>
      <c r="AJ63" s="313"/>
      <c r="AK63" s="312"/>
      <c r="AL63" s="313"/>
      <c r="AM63" s="313"/>
      <c r="AN63" s="313"/>
      <c r="AO63" s="276"/>
      <c r="AP63" s="313"/>
      <c r="AQ63" s="312"/>
      <c r="AR63" s="313"/>
      <c r="AS63" s="313"/>
      <c r="AT63" s="312"/>
      <c r="AU63" s="276"/>
      <c r="AV63" s="313"/>
      <c r="AW63" s="312"/>
      <c r="AX63" s="313"/>
      <c r="AY63" s="313"/>
      <c r="AZ63" s="312"/>
      <c r="BA63" s="300"/>
      <c r="BB63" s="313"/>
      <c r="BC63" s="312"/>
      <c r="BD63" s="318"/>
      <c r="BE63" s="313"/>
      <c r="BF63" s="312"/>
    </row>
    <row r="64" spans="1:58" ht="15.75" customHeight="1" x14ac:dyDescent="0.25">
      <c r="A64" s="326"/>
      <c r="B64" s="327"/>
      <c r="C64" s="327"/>
      <c r="D64" s="327"/>
      <c r="E64" s="327"/>
      <c r="F64" s="327"/>
      <c r="G64" s="327"/>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7"/>
      <c r="AY64" s="327"/>
      <c r="AZ64" s="327"/>
      <c r="BA64" s="327"/>
      <c r="BB64" s="327"/>
      <c r="BC64" s="327"/>
      <c r="BD64" s="327"/>
      <c r="BE64" s="274"/>
      <c r="BF64" s="274"/>
    </row>
    <row r="65" spans="1:58" ht="16.5" customHeight="1" thickBot="1" x14ac:dyDescent="0.3">
      <c r="A65" s="328"/>
      <c r="B65" s="329"/>
      <c r="C65" s="329"/>
      <c r="D65" s="329"/>
      <c r="E65" s="329"/>
      <c r="F65" s="329"/>
      <c r="G65" s="329"/>
      <c r="H65" s="329"/>
      <c r="I65" s="329"/>
      <c r="J65" s="329"/>
      <c r="K65" s="329"/>
      <c r="L65" s="329"/>
      <c r="M65" s="329"/>
      <c r="N65" s="329"/>
      <c r="O65" s="329"/>
      <c r="P65" s="329"/>
      <c r="Q65" s="329"/>
      <c r="R65" s="329"/>
      <c r="S65" s="329"/>
      <c r="T65" s="329"/>
      <c r="U65" s="329"/>
      <c r="V65" s="329"/>
      <c r="W65" s="329"/>
      <c r="X65" s="329"/>
      <c r="Y65" s="329"/>
      <c r="Z65" s="329"/>
      <c r="AA65" s="329"/>
      <c r="AB65" s="329"/>
      <c r="AC65" s="329"/>
      <c r="AD65" s="329"/>
      <c r="AE65" s="329"/>
      <c r="AF65" s="329"/>
      <c r="AG65" s="329"/>
      <c r="AH65" s="329"/>
      <c r="AI65" s="329"/>
      <c r="AJ65" s="329"/>
      <c r="AK65" s="329"/>
      <c r="AL65" s="329"/>
      <c r="AM65" s="329"/>
      <c r="AN65" s="329"/>
      <c r="AO65" s="329"/>
      <c r="AP65" s="329"/>
      <c r="AQ65" s="329"/>
      <c r="AR65" s="329"/>
      <c r="AS65" s="329"/>
      <c r="AT65" s="329"/>
      <c r="AU65" s="329"/>
      <c r="AV65" s="329"/>
      <c r="AW65" s="329"/>
      <c r="AX65" s="329"/>
      <c r="AY65" s="329"/>
      <c r="AZ65" s="329"/>
      <c r="BA65" s="329"/>
      <c r="BB65" s="329"/>
      <c r="BC65" s="329"/>
      <c r="BD65" s="329"/>
      <c r="BE65" s="276"/>
      <c r="BF65" s="276"/>
    </row>
    <row r="66" spans="1:58" ht="15.75" thickBot="1" x14ac:dyDescent="0.3">
      <c r="A66" s="330" t="s">
        <v>291</v>
      </c>
      <c r="B66" s="109" t="s">
        <v>292</v>
      </c>
      <c r="C66" s="105" t="s">
        <v>36</v>
      </c>
      <c r="D66" s="419" t="s">
        <v>132</v>
      </c>
      <c r="E66" s="334" t="s">
        <v>302</v>
      </c>
      <c r="F66" s="313">
        <v>199143.3927</v>
      </c>
      <c r="G66" s="312" t="s">
        <v>294</v>
      </c>
      <c r="H66" s="313">
        <v>193336.65</v>
      </c>
      <c r="I66" s="313">
        <v>195741.07800000001</v>
      </c>
      <c r="J66" s="312">
        <v>189242.47421040002</v>
      </c>
      <c r="K66" s="293"/>
      <c r="L66" s="313">
        <v>206582.37</v>
      </c>
      <c r="M66" s="312">
        <v>191729.1</v>
      </c>
      <c r="N66" s="313">
        <v>208102.05</v>
      </c>
      <c r="O66" s="322">
        <v>200396.064012066</v>
      </c>
      <c r="P66" s="312">
        <v>193742.91468686541</v>
      </c>
      <c r="Q66" s="293"/>
      <c r="R66" s="322">
        <v>210443.30238576166</v>
      </c>
      <c r="S66" s="313">
        <v>195312.42894422539</v>
      </c>
      <c r="T66" s="313">
        <v>193725</v>
      </c>
      <c r="U66" s="313">
        <v>202885.28859182884</v>
      </c>
      <c r="V66" s="313">
        <v>196149.49701058012</v>
      </c>
      <c r="W66" s="274"/>
      <c r="X66" s="313">
        <v>202729.65</v>
      </c>
      <c r="Y66" s="312">
        <v>188153.59</v>
      </c>
      <c r="Z66" s="313">
        <v>196456.5</v>
      </c>
      <c r="AA66" s="313">
        <v>197370.61113600002</v>
      </c>
      <c r="AB66" s="312">
        <v>190817.90684628481</v>
      </c>
      <c r="AC66" s="277"/>
      <c r="AD66" s="313">
        <v>205076.68</v>
      </c>
      <c r="AE66" s="312">
        <v>190331.67</v>
      </c>
      <c r="AF66" s="313">
        <v>193835.47500000001</v>
      </c>
      <c r="AG66" s="259">
        <v>199321.49548563667</v>
      </c>
      <c r="AH66" s="312">
        <v>192704.02183551353</v>
      </c>
      <c r="AI66" s="274"/>
      <c r="AJ66" s="313">
        <v>218537</v>
      </c>
      <c r="AK66" s="313">
        <v>202824.19</v>
      </c>
      <c r="AL66" s="313">
        <v>192180.375</v>
      </c>
      <c r="AM66" s="313">
        <v>204540.68189673603</v>
      </c>
      <c r="AN66" s="313">
        <v>197749.9312577644</v>
      </c>
      <c r="AO66" s="277"/>
      <c r="AP66" s="313">
        <v>203365.91</v>
      </c>
      <c r="AQ66" s="312">
        <v>188743.91</v>
      </c>
      <c r="AR66" s="313">
        <v>192958.42500000002</v>
      </c>
      <c r="AS66" s="313">
        <v>200292.05350999284</v>
      </c>
      <c r="AT66" s="418">
        <v>193642.35733346108</v>
      </c>
      <c r="AU66" s="348"/>
      <c r="AV66" s="313">
        <v>201291.07</v>
      </c>
      <c r="AW66" s="312">
        <v>186818.24</v>
      </c>
      <c r="AX66" s="313">
        <v>192284.09999999998</v>
      </c>
      <c r="AY66" s="313">
        <v>196896.72577422002</v>
      </c>
      <c r="AZ66" s="312">
        <v>190359.75447851591</v>
      </c>
      <c r="BA66" s="274"/>
      <c r="BB66" s="313">
        <f>BB58</f>
        <v>200861.68752473284</v>
      </c>
      <c r="BC66" s="312">
        <v>186419.73</v>
      </c>
      <c r="BD66" s="313">
        <v>193468.72500000001</v>
      </c>
      <c r="BE66" s="313">
        <v>196520.91045475201</v>
      </c>
      <c r="BF66" s="312">
        <v>189996.41622765423</v>
      </c>
    </row>
    <row r="67" spans="1:58" ht="30.75" thickBot="1" x14ac:dyDescent="0.3">
      <c r="A67" s="331"/>
      <c r="B67" s="107" t="s">
        <v>295</v>
      </c>
      <c r="C67" s="99" t="s">
        <v>295</v>
      </c>
      <c r="D67" s="357"/>
      <c r="E67" s="335"/>
      <c r="F67" s="313"/>
      <c r="G67" s="312"/>
      <c r="H67" s="313"/>
      <c r="I67" s="313"/>
      <c r="J67" s="312"/>
      <c r="K67" s="289"/>
      <c r="L67" s="313"/>
      <c r="M67" s="312"/>
      <c r="N67" s="313"/>
      <c r="O67" s="322"/>
      <c r="P67" s="312"/>
      <c r="Q67" s="289"/>
      <c r="R67" s="322"/>
      <c r="S67" s="313"/>
      <c r="T67" s="313"/>
      <c r="U67" s="313"/>
      <c r="V67" s="313"/>
      <c r="W67" s="275"/>
      <c r="X67" s="313"/>
      <c r="Y67" s="312"/>
      <c r="Z67" s="313"/>
      <c r="AA67" s="313"/>
      <c r="AB67" s="312"/>
      <c r="AC67" s="278"/>
      <c r="AD67" s="313"/>
      <c r="AE67" s="312"/>
      <c r="AF67" s="313"/>
      <c r="AG67" s="259"/>
      <c r="AH67" s="312"/>
      <c r="AI67" s="275"/>
      <c r="AJ67" s="313"/>
      <c r="AK67" s="313"/>
      <c r="AL67" s="313"/>
      <c r="AM67" s="313"/>
      <c r="AN67" s="313"/>
      <c r="AO67" s="278"/>
      <c r="AP67" s="313"/>
      <c r="AQ67" s="312"/>
      <c r="AR67" s="313"/>
      <c r="AS67" s="313"/>
      <c r="AT67" s="418"/>
      <c r="AU67" s="348"/>
      <c r="AV67" s="313"/>
      <c r="AW67" s="312"/>
      <c r="AX67" s="313"/>
      <c r="AY67" s="313"/>
      <c r="AZ67" s="312"/>
      <c r="BA67" s="275"/>
      <c r="BB67" s="313"/>
      <c r="BC67" s="312"/>
      <c r="BD67" s="318"/>
      <c r="BE67" s="313"/>
      <c r="BF67" s="312"/>
    </row>
    <row r="68" spans="1:58" ht="15.75" thickBot="1" x14ac:dyDescent="0.3">
      <c r="A68" s="417" t="s">
        <v>296</v>
      </c>
      <c r="B68" s="106" t="s">
        <v>297</v>
      </c>
      <c r="C68" s="24" t="s">
        <v>38</v>
      </c>
      <c r="D68" s="356" t="s">
        <v>141</v>
      </c>
      <c r="E68" s="358" t="s">
        <v>302</v>
      </c>
      <c r="F68" s="313">
        <v>313844.35740000004</v>
      </c>
      <c r="G68" s="312">
        <v>307912.69904514001</v>
      </c>
      <c r="H68" s="313">
        <v>340949.84</v>
      </c>
      <c r="I68" s="313">
        <v>336179.84399999998</v>
      </c>
      <c r="J68" s="312">
        <v>330969.05641799996</v>
      </c>
      <c r="K68" s="289"/>
      <c r="L68" s="313">
        <v>319676.94</v>
      </c>
      <c r="M68" s="312">
        <v>313635.04583399999</v>
      </c>
      <c r="N68" s="313">
        <v>336866.56</v>
      </c>
      <c r="O68" s="322">
        <v>342066.98185159505</v>
      </c>
      <c r="P68" s="312">
        <v>336764.9436328953</v>
      </c>
      <c r="Q68" s="289"/>
      <c r="R68" s="322">
        <v>318525.35058216605</v>
      </c>
      <c r="S68" s="312">
        <v>312505.2214561631</v>
      </c>
      <c r="T68" s="313">
        <v>340949.84</v>
      </c>
      <c r="U68" s="313">
        <v>343665.67713443656</v>
      </c>
      <c r="V68" s="312">
        <v>338338.8591388528</v>
      </c>
      <c r="W68" s="275"/>
      <c r="X68" s="313">
        <v>315337.62</v>
      </c>
      <c r="Y68" s="312">
        <v>309377.73898199998</v>
      </c>
      <c r="Z68" s="313">
        <v>340950.4</v>
      </c>
      <c r="AA68" s="313">
        <v>337490.88912000001</v>
      </c>
      <c r="AB68" s="312">
        <v>332259.78033864003</v>
      </c>
      <c r="AC68" s="278"/>
      <c r="AD68" s="313">
        <v>316302.03000000003</v>
      </c>
      <c r="AE68" s="312">
        <v>310323.92163300002</v>
      </c>
      <c r="AF68" s="313">
        <v>339526.88</v>
      </c>
      <c r="AG68" s="259">
        <v>339852.24517560616</v>
      </c>
      <c r="AH68" s="312">
        <v>334584.53537538426</v>
      </c>
      <c r="AI68" s="275"/>
      <c r="AJ68" s="313">
        <v>321915.69104544003</v>
      </c>
      <c r="AK68" s="312">
        <v>315831.48448468122</v>
      </c>
      <c r="AL68" s="313">
        <v>332315.68</v>
      </c>
      <c r="AM68" s="313">
        <v>343247.46953111998</v>
      </c>
      <c r="AN68" s="313">
        <v>337927.13375338761</v>
      </c>
      <c r="AO68" s="278"/>
      <c r="AP68" s="313">
        <v>316749.34000000003</v>
      </c>
      <c r="AQ68" s="312">
        <v>310762.777474</v>
      </c>
      <c r="AR68" s="313">
        <v>347703.6</v>
      </c>
      <c r="AS68" s="313">
        <v>342640.41040431976</v>
      </c>
      <c r="AT68" s="416">
        <v>337329.48404305283</v>
      </c>
      <c r="AU68" s="348"/>
      <c r="AV68" s="313">
        <v>314733.96999999997</v>
      </c>
      <c r="AW68" s="312">
        <v>308785.49796699994</v>
      </c>
      <c r="AX68" s="313">
        <v>340950.48</v>
      </c>
      <c r="AY68" s="313">
        <v>337271.25874365005</v>
      </c>
      <c r="AZ68" s="312">
        <v>332043.55423312349</v>
      </c>
      <c r="BA68" s="275"/>
      <c r="BB68" s="313">
        <f>BB62</f>
        <v>314556.29050604161</v>
      </c>
      <c r="BC68" s="312">
        <v>308611.17611899995</v>
      </c>
      <c r="BD68" s="313">
        <v>335244.40000000002</v>
      </c>
      <c r="BE68" s="313">
        <v>336805.13850983995</v>
      </c>
      <c r="BF68" s="312">
        <v>331584.65886293742</v>
      </c>
    </row>
    <row r="69" spans="1:58" ht="30.75" thickBot="1" x14ac:dyDescent="0.3">
      <c r="A69" s="331"/>
      <c r="B69" s="107" t="s">
        <v>298</v>
      </c>
      <c r="C69" s="107" t="s">
        <v>298</v>
      </c>
      <c r="D69" s="357"/>
      <c r="E69" s="335"/>
      <c r="F69" s="313"/>
      <c r="G69" s="312"/>
      <c r="H69" s="313"/>
      <c r="I69" s="313"/>
      <c r="J69" s="312"/>
      <c r="K69" s="289"/>
      <c r="L69" s="313"/>
      <c r="M69" s="312"/>
      <c r="N69" s="313"/>
      <c r="O69" s="322"/>
      <c r="P69" s="312"/>
      <c r="Q69" s="289"/>
      <c r="R69" s="322"/>
      <c r="S69" s="312"/>
      <c r="T69" s="313"/>
      <c r="U69" s="313"/>
      <c r="V69" s="312"/>
      <c r="W69" s="275"/>
      <c r="X69" s="313"/>
      <c r="Y69" s="312"/>
      <c r="Z69" s="313"/>
      <c r="AA69" s="313"/>
      <c r="AB69" s="312"/>
      <c r="AC69" s="278"/>
      <c r="AD69" s="313"/>
      <c r="AE69" s="312"/>
      <c r="AF69" s="313"/>
      <c r="AG69" s="259"/>
      <c r="AH69" s="312"/>
      <c r="AI69" s="275"/>
      <c r="AJ69" s="313"/>
      <c r="AK69" s="312"/>
      <c r="AL69" s="313"/>
      <c r="AM69" s="313"/>
      <c r="AN69" s="313"/>
      <c r="AO69" s="278"/>
      <c r="AP69" s="313"/>
      <c r="AQ69" s="312"/>
      <c r="AR69" s="313"/>
      <c r="AS69" s="313"/>
      <c r="AT69" s="416"/>
      <c r="AU69" s="360"/>
      <c r="AV69" s="313"/>
      <c r="AW69" s="312"/>
      <c r="AX69" s="313"/>
      <c r="AY69" s="313"/>
      <c r="AZ69" s="312"/>
      <c r="BA69" s="276"/>
      <c r="BB69" s="313"/>
      <c r="BC69" s="312"/>
      <c r="BD69" s="318"/>
      <c r="BE69" s="313"/>
      <c r="BF69" s="312"/>
    </row>
    <row r="70" spans="1:58" ht="15.75" thickBot="1" x14ac:dyDescent="0.3">
      <c r="A70" s="391" t="s">
        <v>286</v>
      </c>
      <c r="B70" s="392"/>
      <c r="C70" s="392"/>
      <c r="D70" s="392"/>
      <c r="E70" s="415"/>
      <c r="F70" s="325"/>
      <c r="G70" s="313"/>
      <c r="H70" s="313"/>
      <c r="I70" s="313"/>
      <c r="J70" s="313"/>
      <c r="K70" s="289"/>
      <c r="L70" s="148"/>
      <c r="M70" s="102"/>
      <c r="N70" s="102"/>
      <c r="O70" s="102"/>
      <c r="P70" s="154"/>
      <c r="Q70" s="289"/>
      <c r="R70" s="148"/>
      <c r="S70" s="102"/>
      <c r="T70" s="102"/>
      <c r="U70" s="102"/>
      <c r="V70" s="154"/>
      <c r="W70" s="275"/>
      <c r="X70" s="259"/>
      <c r="Y70" s="260"/>
      <c r="Z70" s="260"/>
      <c r="AA70" s="260"/>
      <c r="AB70" s="261"/>
      <c r="AC70" s="278"/>
      <c r="AD70" s="108"/>
      <c r="AE70" s="108"/>
      <c r="AF70" s="108"/>
      <c r="AG70" s="102"/>
      <c r="AH70" s="155"/>
      <c r="AI70" s="275"/>
      <c r="AJ70" s="259"/>
      <c r="AK70" s="260"/>
      <c r="AL70" s="260"/>
      <c r="AM70" s="260"/>
      <c r="AN70" s="261"/>
      <c r="AO70" s="278"/>
      <c r="AP70" s="108"/>
      <c r="AQ70" s="108"/>
      <c r="AR70" s="108"/>
      <c r="AS70" s="108"/>
      <c r="AT70" s="108"/>
      <c r="AU70" s="108"/>
      <c r="AV70" s="108"/>
      <c r="AW70" s="108"/>
      <c r="AX70" s="108"/>
      <c r="AY70" s="102"/>
      <c r="AZ70" s="102"/>
      <c r="BA70" s="108"/>
      <c r="BB70" s="108"/>
      <c r="BC70" s="108"/>
      <c r="BD70" s="111"/>
      <c r="BE70" s="102"/>
      <c r="BF70" s="102"/>
    </row>
    <row r="71" spans="1:58" ht="15.75" thickBot="1" x14ac:dyDescent="0.3">
      <c r="A71" s="337" t="s">
        <v>291</v>
      </c>
      <c r="B71" s="136" t="s">
        <v>305</v>
      </c>
      <c r="C71" s="116" t="s">
        <v>43</v>
      </c>
      <c r="D71" s="339" t="s">
        <v>132</v>
      </c>
      <c r="E71" s="345" t="s">
        <v>290</v>
      </c>
      <c r="F71" s="313">
        <v>202729.86</v>
      </c>
      <c r="G71" s="313">
        <v>201858.12</v>
      </c>
      <c r="H71" s="314">
        <f>8592.74*22.5</f>
        <v>193336.65</v>
      </c>
      <c r="I71" s="322">
        <v>187860.87000000002</v>
      </c>
      <c r="J71" s="312">
        <v>169093.56908700001</v>
      </c>
      <c r="K71" s="289"/>
      <c r="L71" s="313">
        <v>202729.41</v>
      </c>
      <c r="M71" s="312">
        <v>201857.67</v>
      </c>
      <c r="N71" s="314">
        <f>9248.98*22.5</f>
        <v>208102.05</v>
      </c>
      <c r="O71" s="322">
        <v>187860.87000000002</v>
      </c>
      <c r="P71" s="312">
        <v>169093.56908700001</v>
      </c>
      <c r="Q71" s="289"/>
      <c r="R71" s="322">
        <v>203417.37960031055</v>
      </c>
      <c r="S71" s="313">
        <v>202542.68486802923</v>
      </c>
      <c r="T71" s="314">
        <f>8610*22.5</f>
        <v>193725</v>
      </c>
      <c r="U71" s="313">
        <v>202803.8322007845</v>
      </c>
      <c r="V71" s="312">
        <v>182543.72936392613</v>
      </c>
      <c r="W71" s="275"/>
      <c r="X71" s="313">
        <v>202744.36</v>
      </c>
      <c r="Y71" s="313">
        <v>201872.56</v>
      </c>
      <c r="Z71" s="314">
        <f>8731.4*22.5</f>
        <v>196456.5</v>
      </c>
      <c r="AA71" s="313">
        <v>187866</v>
      </c>
      <c r="AB71" s="312">
        <v>169098.18660000002</v>
      </c>
      <c r="AC71" s="278"/>
      <c r="AD71" s="313">
        <v>202820.63</v>
      </c>
      <c r="AE71" s="313">
        <v>201948.5</v>
      </c>
      <c r="AF71" s="313">
        <v>193835.47500000001</v>
      </c>
      <c r="AG71" s="259">
        <v>189831.43659586503</v>
      </c>
      <c r="AH71" s="312">
        <v>170867.27607993811</v>
      </c>
      <c r="AI71" s="275"/>
      <c r="AJ71" s="313">
        <v>207530.65</v>
      </c>
      <c r="AK71" s="313">
        <v>206638.27</v>
      </c>
      <c r="AL71" s="314">
        <f>8541.35*22.5</f>
        <v>192180.375</v>
      </c>
      <c r="AM71" s="313">
        <v>200628.11311200002</v>
      </c>
      <c r="AN71" s="312">
        <v>180585.36461211121</v>
      </c>
      <c r="AO71" s="278"/>
      <c r="AP71" s="313">
        <v>202820.78</v>
      </c>
      <c r="AQ71" s="317">
        <v>201948.66</v>
      </c>
      <c r="AR71" s="314">
        <f>8575.93*22.5</f>
        <v>192958.42500000002</v>
      </c>
      <c r="AS71" s="313">
        <v>189831.57301194748</v>
      </c>
      <c r="AT71" s="312">
        <v>170867.39886805392</v>
      </c>
      <c r="AU71" s="295"/>
      <c r="AV71" s="313">
        <v>202992.15</v>
      </c>
      <c r="AW71" s="313">
        <v>202119.28</v>
      </c>
      <c r="AX71" s="314">
        <f>8545.96*22.5</f>
        <v>192284.09999999998</v>
      </c>
      <c r="AY71" s="313">
        <v>190771.33312754999</v>
      </c>
      <c r="AZ71" s="312">
        <v>171713.27694810776</v>
      </c>
      <c r="BA71" s="295"/>
      <c r="BB71" s="313">
        <v>205521.99</v>
      </c>
      <c r="BC71" s="313">
        <v>204638.24</v>
      </c>
      <c r="BD71" s="314">
        <f>8598.61*22.5</f>
        <v>193468.72500000001</v>
      </c>
      <c r="BE71" s="313">
        <v>187860.87000000002</v>
      </c>
      <c r="BF71" s="312">
        <v>169093.56908700001</v>
      </c>
    </row>
    <row r="72" spans="1:58" ht="30.75" thickBot="1" x14ac:dyDescent="0.3">
      <c r="A72" s="338"/>
      <c r="B72" s="135" t="s">
        <v>295</v>
      </c>
      <c r="C72" s="135" t="s">
        <v>295</v>
      </c>
      <c r="D72" s="340"/>
      <c r="E72" s="338"/>
      <c r="F72" s="313"/>
      <c r="G72" s="313"/>
      <c r="H72" s="314"/>
      <c r="I72" s="322"/>
      <c r="J72" s="312"/>
      <c r="K72" s="289"/>
      <c r="L72" s="313"/>
      <c r="M72" s="312"/>
      <c r="N72" s="314"/>
      <c r="O72" s="322"/>
      <c r="P72" s="312"/>
      <c r="Q72" s="289"/>
      <c r="R72" s="322"/>
      <c r="S72" s="313"/>
      <c r="T72" s="314"/>
      <c r="U72" s="313"/>
      <c r="V72" s="312"/>
      <c r="W72" s="275"/>
      <c r="X72" s="313"/>
      <c r="Y72" s="313"/>
      <c r="Z72" s="314"/>
      <c r="AA72" s="313"/>
      <c r="AB72" s="312"/>
      <c r="AC72" s="278"/>
      <c r="AD72" s="313"/>
      <c r="AE72" s="313"/>
      <c r="AF72" s="313"/>
      <c r="AG72" s="259"/>
      <c r="AH72" s="312"/>
      <c r="AI72" s="275"/>
      <c r="AJ72" s="313"/>
      <c r="AK72" s="313"/>
      <c r="AL72" s="314"/>
      <c r="AM72" s="313"/>
      <c r="AN72" s="312"/>
      <c r="AO72" s="278"/>
      <c r="AP72" s="313"/>
      <c r="AQ72" s="317"/>
      <c r="AR72" s="314"/>
      <c r="AS72" s="313"/>
      <c r="AT72" s="312"/>
      <c r="AU72" s="296"/>
      <c r="AV72" s="313"/>
      <c r="AW72" s="313"/>
      <c r="AX72" s="314"/>
      <c r="AY72" s="313"/>
      <c r="AZ72" s="312"/>
      <c r="BA72" s="296"/>
      <c r="BB72" s="313"/>
      <c r="BC72" s="313"/>
      <c r="BD72" s="314"/>
      <c r="BE72" s="313"/>
      <c r="BF72" s="312"/>
    </row>
    <row r="73" spans="1:58" ht="15.75" thickBot="1" x14ac:dyDescent="0.3">
      <c r="A73" s="337" t="s">
        <v>291</v>
      </c>
      <c r="B73" s="136" t="s">
        <v>307</v>
      </c>
      <c r="C73" s="116" t="s">
        <v>44</v>
      </c>
      <c r="D73" s="339" t="s">
        <v>135</v>
      </c>
      <c r="E73" s="346" t="s">
        <v>290</v>
      </c>
      <c r="F73" s="313">
        <v>202729.86</v>
      </c>
      <c r="G73" s="312">
        <v>201858.12</v>
      </c>
      <c r="H73" s="314">
        <f>8592.74*24</f>
        <v>206225.76</v>
      </c>
      <c r="I73" s="313">
        <v>223067.38860000003</v>
      </c>
      <c r="J73" s="312">
        <v>204128.96730786003</v>
      </c>
      <c r="K73" s="289"/>
      <c r="L73" s="313">
        <v>202729.41</v>
      </c>
      <c r="M73" s="312">
        <v>201857.67</v>
      </c>
      <c r="N73" s="314">
        <f>9248.98*24</f>
        <v>221975.52</v>
      </c>
      <c r="O73" s="322">
        <v>223067.38860000003</v>
      </c>
      <c r="P73" s="312">
        <v>204128.96730786003</v>
      </c>
      <c r="Q73" s="289"/>
      <c r="R73" s="322">
        <v>203417.37960031055</v>
      </c>
      <c r="S73" s="312">
        <v>202542.68486802923</v>
      </c>
      <c r="T73" s="314">
        <f>8610*24</f>
        <v>206640</v>
      </c>
      <c r="U73" s="313">
        <v>238146.67304038192</v>
      </c>
      <c r="V73" s="313">
        <v>217928.0204992535</v>
      </c>
      <c r="W73" s="275"/>
      <c r="X73" s="313">
        <v>202744.36</v>
      </c>
      <c r="Y73" s="312">
        <v>201872.56</v>
      </c>
      <c r="Z73" s="314">
        <f>8731.4*24</f>
        <v>209553.59999999998</v>
      </c>
      <c r="AA73" s="313">
        <v>223073.48</v>
      </c>
      <c r="AB73" s="312">
        <v>204134.54154800001</v>
      </c>
      <c r="AC73" s="278"/>
      <c r="AD73" s="313">
        <v>202820.63</v>
      </c>
      <c r="AE73" s="312">
        <v>201948.5</v>
      </c>
      <c r="AF73" s="314">
        <f>8614.91*24</f>
        <v>206757.84</v>
      </c>
      <c r="AG73" s="259">
        <v>225055.92283567472</v>
      </c>
      <c r="AH73" s="312">
        <v>205948.67498692594</v>
      </c>
      <c r="AI73" s="275"/>
      <c r="AJ73" s="313">
        <v>207530.65</v>
      </c>
      <c r="AK73" s="313">
        <v>206638.27</v>
      </c>
      <c r="AL73" s="314">
        <f>8541.35*24</f>
        <v>204992.40000000002</v>
      </c>
      <c r="AM73" s="322">
        <v>235951.95814736004</v>
      </c>
      <c r="AN73" s="313">
        <v>215919.63690064917</v>
      </c>
      <c r="AO73" s="278"/>
      <c r="AP73" s="313">
        <v>202820.78</v>
      </c>
      <c r="AQ73" s="312">
        <v>201948.66</v>
      </c>
      <c r="AR73" s="314">
        <f>8575.93*24</f>
        <v>205822.32</v>
      </c>
      <c r="AS73" s="313">
        <v>225056.08456466903</v>
      </c>
      <c r="AT73" s="313">
        <v>205948.82298512862</v>
      </c>
      <c r="AU73" s="296"/>
      <c r="AV73" s="313">
        <v>202992.15</v>
      </c>
      <c r="AW73" s="312">
        <v>202119.28</v>
      </c>
      <c r="AX73" s="314">
        <f>8545.96*24</f>
        <v>205103.03999999998</v>
      </c>
      <c r="AY73" s="313">
        <v>226021.14142248899</v>
      </c>
      <c r="AZ73" s="313">
        <v>206831.94651571967</v>
      </c>
      <c r="BA73" s="296"/>
      <c r="BB73" s="313">
        <v>205521.99</v>
      </c>
      <c r="BC73" s="312">
        <v>204638.24</v>
      </c>
      <c r="BD73" s="314">
        <f>8598.61*24</f>
        <v>206366.64</v>
      </c>
      <c r="BE73" s="313">
        <v>223067.38860000003</v>
      </c>
      <c r="BF73" s="312">
        <v>204128.96730786003</v>
      </c>
    </row>
    <row r="74" spans="1:58" ht="30.75" thickBot="1" x14ac:dyDescent="0.3">
      <c r="A74" s="338"/>
      <c r="B74" s="135" t="s">
        <v>301</v>
      </c>
      <c r="C74" s="135" t="s">
        <v>301</v>
      </c>
      <c r="D74" s="340"/>
      <c r="E74" s="338"/>
      <c r="F74" s="313"/>
      <c r="G74" s="312"/>
      <c r="H74" s="314"/>
      <c r="I74" s="313"/>
      <c r="J74" s="312"/>
      <c r="K74" s="289"/>
      <c r="L74" s="313"/>
      <c r="M74" s="312"/>
      <c r="N74" s="314"/>
      <c r="O74" s="322"/>
      <c r="P74" s="312"/>
      <c r="Q74" s="289"/>
      <c r="R74" s="322"/>
      <c r="S74" s="312"/>
      <c r="T74" s="314"/>
      <c r="U74" s="313"/>
      <c r="V74" s="313"/>
      <c r="W74" s="275"/>
      <c r="X74" s="313"/>
      <c r="Y74" s="312"/>
      <c r="Z74" s="314"/>
      <c r="AA74" s="313"/>
      <c r="AB74" s="312"/>
      <c r="AC74" s="278"/>
      <c r="AD74" s="313"/>
      <c r="AE74" s="312"/>
      <c r="AF74" s="314"/>
      <c r="AG74" s="259"/>
      <c r="AH74" s="312"/>
      <c r="AI74" s="275"/>
      <c r="AJ74" s="313"/>
      <c r="AK74" s="313"/>
      <c r="AL74" s="314"/>
      <c r="AM74" s="322"/>
      <c r="AN74" s="313"/>
      <c r="AO74" s="278"/>
      <c r="AP74" s="313"/>
      <c r="AQ74" s="312"/>
      <c r="AR74" s="314"/>
      <c r="AS74" s="313"/>
      <c r="AT74" s="313"/>
      <c r="AU74" s="296"/>
      <c r="AV74" s="313"/>
      <c r="AW74" s="312"/>
      <c r="AX74" s="314"/>
      <c r="AY74" s="313"/>
      <c r="AZ74" s="313"/>
      <c r="BA74" s="296"/>
      <c r="BB74" s="313"/>
      <c r="BC74" s="312"/>
      <c r="BD74" s="314"/>
      <c r="BE74" s="313"/>
      <c r="BF74" s="312"/>
    </row>
    <row r="75" spans="1:58" ht="15.75" thickBot="1" x14ac:dyDescent="0.3">
      <c r="A75" s="393" t="s">
        <v>291</v>
      </c>
      <c r="B75" s="112" t="s">
        <v>289</v>
      </c>
      <c r="C75" s="113" t="s">
        <v>45</v>
      </c>
      <c r="D75" s="393" t="s">
        <v>144</v>
      </c>
      <c r="E75" s="334" t="s">
        <v>290</v>
      </c>
      <c r="F75" s="313">
        <v>468165.16200000001</v>
      </c>
      <c r="G75" s="313">
        <v>465028.46</v>
      </c>
      <c r="H75" s="313">
        <v>412451.52</v>
      </c>
      <c r="I75" s="313">
        <v>378783.1764</v>
      </c>
      <c r="J75" s="312">
        <v>368101.49082552001</v>
      </c>
      <c r="K75" s="289"/>
      <c r="L75" s="313">
        <v>468164.1</v>
      </c>
      <c r="M75" s="313">
        <v>465027.41</v>
      </c>
      <c r="N75" s="313">
        <v>443951.04</v>
      </c>
      <c r="O75" s="322">
        <v>378783.1764</v>
      </c>
      <c r="P75" s="312">
        <v>368101.49082552001</v>
      </c>
      <c r="Q75" s="289"/>
      <c r="R75" s="322">
        <v>470639.58804710465</v>
      </c>
      <c r="S75" s="313">
        <v>467486.30280718906</v>
      </c>
      <c r="T75" s="313">
        <v>413280</v>
      </c>
      <c r="U75" s="319">
        <v>387288.76938939007</v>
      </c>
      <c r="V75" s="312">
        <v>376367.22609260929</v>
      </c>
      <c r="W75" s="275"/>
      <c r="X75" s="313">
        <v>468198.64</v>
      </c>
      <c r="Y75" s="313">
        <v>465061.71</v>
      </c>
      <c r="Z75" s="313">
        <v>419107.19999999995</v>
      </c>
      <c r="AA75" s="313">
        <v>378793.51999999996</v>
      </c>
      <c r="AB75" s="312">
        <v>368111.54273599997</v>
      </c>
      <c r="AC75" s="278"/>
      <c r="AD75" s="313">
        <v>468492.75</v>
      </c>
      <c r="AE75" s="313">
        <v>465353.85</v>
      </c>
      <c r="AF75" s="313">
        <v>413515.68</v>
      </c>
      <c r="AG75" s="259">
        <v>379904.75338532042</v>
      </c>
      <c r="AH75" s="312">
        <v>369191.43933985441</v>
      </c>
      <c r="AI75" s="275"/>
      <c r="AJ75" s="313">
        <v>480031.5</v>
      </c>
      <c r="AK75" s="313">
        <v>476815.29</v>
      </c>
      <c r="AL75" s="313">
        <v>409984.80000000005</v>
      </c>
      <c r="AM75" s="313">
        <v>386057.26453951997</v>
      </c>
      <c r="AN75" s="312">
        <v>375170.44967950549</v>
      </c>
      <c r="AO75" s="278"/>
      <c r="AP75" s="313">
        <v>468493.11</v>
      </c>
      <c r="AQ75" s="313">
        <v>465354.2</v>
      </c>
      <c r="AR75" s="313">
        <v>411644.64</v>
      </c>
      <c r="AS75" s="313">
        <v>379905.02639130456</v>
      </c>
      <c r="AT75" s="312">
        <v>369191.7046470698</v>
      </c>
      <c r="AU75" s="296"/>
      <c r="AV75" s="313">
        <v>469107.94</v>
      </c>
      <c r="AW75" s="313">
        <v>465964.9163224746</v>
      </c>
      <c r="AX75" s="313">
        <v>410206.07999999996</v>
      </c>
      <c r="AY75" s="313">
        <v>380575.68181474798</v>
      </c>
      <c r="AZ75" s="312">
        <v>369843.4475875721</v>
      </c>
      <c r="BA75" s="296"/>
      <c r="BB75" s="313">
        <v>474613.02</v>
      </c>
      <c r="BC75" s="313">
        <v>471433.12</v>
      </c>
      <c r="BD75" s="313">
        <v>412733.28</v>
      </c>
      <c r="BE75" s="313">
        <v>378783.1764</v>
      </c>
      <c r="BF75" s="312">
        <v>368101.49082552001</v>
      </c>
    </row>
    <row r="76" spans="1:58" ht="30.75" thickBot="1" x14ac:dyDescent="0.3">
      <c r="A76" s="372"/>
      <c r="B76" s="99" t="s">
        <v>303</v>
      </c>
      <c r="C76" s="99" t="s">
        <v>303</v>
      </c>
      <c r="D76" s="372"/>
      <c r="E76" s="335"/>
      <c r="F76" s="313"/>
      <c r="G76" s="313"/>
      <c r="H76" s="313"/>
      <c r="I76" s="313"/>
      <c r="J76" s="312"/>
      <c r="K76" s="289"/>
      <c r="L76" s="313"/>
      <c r="M76" s="313"/>
      <c r="N76" s="313"/>
      <c r="O76" s="322"/>
      <c r="P76" s="312"/>
      <c r="Q76" s="289"/>
      <c r="R76" s="322"/>
      <c r="S76" s="313"/>
      <c r="T76" s="313"/>
      <c r="U76" s="319"/>
      <c r="V76" s="312"/>
      <c r="W76" s="275"/>
      <c r="X76" s="313"/>
      <c r="Y76" s="313"/>
      <c r="Z76" s="313"/>
      <c r="AA76" s="313"/>
      <c r="AB76" s="312"/>
      <c r="AC76" s="278"/>
      <c r="AD76" s="313"/>
      <c r="AE76" s="313"/>
      <c r="AF76" s="313"/>
      <c r="AG76" s="259"/>
      <c r="AH76" s="312"/>
      <c r="AI76" s="275"/>
      <c r="AJ76" s="313"/>
      <c r="AK76" s="313"/>
      <c r="AL76" s="313"/>
      <c r="AM76" s="313"/>
      <c r="AN76" s="312"/>
      <c r="AO76" s="278"/>
      <c r="AP76" s="313"/>
      <c r="AQ76" s="313"/>
      <c r="AR76" s="313"/>
      <c r="AS76" s="313"/>
      <c r="AT76" s="312"/>
      <c r="AU76" s="296"/>
      <c r="AV76" s="313"/>
      <c r="AW76" s="313"/>
      <c r="AX76" s="313"/>
      <c r="AY76" s="313"/>
      <c r="AZ76" s="312"/>
      <c r="BA76" s="296"/>
      <c r="BB76" s="313"/>
      <c r="BC76" s="313"/>
      <c r="BD76" s="318"/>
      <c r="BE76" s="313"/>
      <c r="BF76" s="312"/>
    </row>
    <row r="77" spans="1:58" ht="15.75" thickBot="1" x14ac:dyDescent="0.3">
      <c r="A77" s="343" t="s">
        <v>296</v>
      </c>
      <c r="B77" s="132" t="s">
        <v>306</v>
      </c>
      <c r="C77" s="114" t="s">
        <v>45</v>
      </c>
      <c r="D77" s="355" t="s">
        <v>141</v>
      </c>
      <c r="E77" s="344" t="s">
        <v>290</v>
      </c>
      <c r="F77" s="313">
        <v>316848.4425</v>
      </c>
      <c r="G77" s="312">
        <v>315834.52748400002</v>
      </c>
      <c r="H77" s="314">
        <f>42618.73*8</f>
        <v>340949.84</v>
      </c>
      <c r="I77" s="313">
        <v>378783.1764</v>
      </c>
      <c r="J77" s="317">
        <v>368101.49082552001</v>
      </c>
      <c r="K77" s="289"/>
      <c r="L77" s="313">
        <v>316847.72700000001</v>
      </c>
      <c r="M77" s="312">
        <v>315833.8142736</v>
      </c>
      <c r="N77" s="314">
        <f>42108.32*8</f>
        <v>336866.56</v>
      </c>
      <c r="O77" s="322">
        <v>378783.1764</v>
      </c>
      <c r="P77" s="317">
        <v>368101.49082552001</v>
      </c>
      <c r="Q77" s="289"/>
      <c r="R77" s="322">
        <v>317647.90692367492</v>
      </c>
      <c r="S77" s="312">
        <v>316631.43362151919</v>
      </c>
      <c r="T77" s="314">
        <f>42618.73*8</f>
        <v>340949.84</v>
      </c>
      <c r="U77" s="319">
        <v>387288.76938939007</v>
      </c>
      <c r="V77" s="317">
        <v>376367.22609260929</v>
      </c>
      <c r="W77" s="275"/>
      <c r="X77" s="313">
        <v>316871.10000000003</v>
      </c>
      <c r="Y77" s="312">
        <v>315857.11248000001</v>
      </c>
      <c r="Z77" s="314">
        <f>42618.8*8</f>
        <v>340950.4</v>
      </c>
      <c r="AA77" s="313">
        <v>378793.51999999996</v>
      </c>
      <c r="AB77" s="317">
        <v>368111.54273599997</v>
      </c>
      <c r="AC77" s="278"/>
      <c r="AD77" s="313">
        <v>316953.71067600005</v>
      </c>
      <c r="AE77" s="312">
        <v>315939.45880183682</v>
      </c>
      <c r="AF77" s="314">
        <f>42440.86*8</f>
        <v>339526.88</v>
      </c>
      <c r="AG77" s="323">
        <v>379904.75338532042</v>
      </c>
      <c r="AH77" s="320">
        <v>369191.43933985441</v>
      </c>
      <c r="AI77" s="275"/>
      <c r="AJ77" s="313">
        <v>324109.73145600001</v>
      </c>
      <c r="AK77" s="312">
        <v>323072.58031534083</v>
      </c>
      <c r="AL77" s="314">
        <f>41539.46*8</f>
        <v>332315.68</v>
      </c>
      <c r="AM77" s="319">
        <v>386057.26453951997</v>
      </c>
      <c r="AN77" s="320">
        <v>375170.44967950549</v>
      </c>
      <c r="AO77" s="278"/>
      <c r="AP77" s="313">
        <v>316953.94925613608</v>
      </c>
      <c r="AQ77" s="312">
        <v>315939.69661851646</v>
      </c>
      <c r="AR77" s="314">
        <f>43462.95*8</f>
        <v>347703.6</v>
      </c>
      <c r="AS77" s="319">
        <v>379905.02639130456</v>
      </c>
      <c r="AT77" s="320">
        <v>369191.7046470698</v>
      </c>
      <c r="AU77" s="296"/>
      <c r="AV77" s="313">
        <v>317153.81</v>
      </c>
      <c r="AW77" s="312">
        <v>316138.917808</v>
      </c>
      <c r="AX77" s="314">
        <f>42618.81*8</f>
        <v>340950.48</v>
      </c>
      <c r="AY77" s="319">
        <v>380575.68181474798</v>
      </c>
      <c r="AZ77" s="320">
        <v>369843.4475875721</v>
      </c>
      <c r="BA77" s="296"/>
      <c r="BB77" s="313">
        <v>321212.28000000003</v>
      </c>
      <c r="BC77" s="312">
        <v>320184.40000000002</v>
      </c>
      <c r="BD77" s="314">
        <f>41905.55*8</f>
        <v>335244.40000000002</v>
      </c>
      <c r="BE77" s="313">
        <v>378783.1764</v>
      </c>
      <c r="BF77" s="317">
        <v>368101.49082552001</v>
      </c>
    </row>
    <row r="78" spans="1:58" ht="30.75" thickBot="1" x14ac:dyDescent="0.3">
      <c r="A78" s="338"/>
      <c r="B78" s="135" t="s">
        <v>298</v>
      </c>
      <c r="C78" s="137" t="s">
        <v>298</v>
      </c>
      <c r="D78" s="340"/>
      <c r="E78" s="342"/>
      <c r="F78" s="313"/>
      <c r="G78" s="312"/>
      <c r="H78" s="314"/>
      <c r="I78" s="313"/>
      <c r="J78" s="317"/>
      <c r="K78" s="289"/>
      <c r="L78" s="313"/>
      <c r="M78" s="312"/>
      <c r="N78" s="314"/>
      <c r="O78" s="322"/>
      <c r="P78" s="317"/>
      <c r="Q78" s="289"/>
      <c r="R78" s="322"/>
      <c r="S78" s="312"/>
      <c r="T78" s="314"/>
      <c r="U78" s="319"/>
      <c r="V78" s="317"/>
      <c r="W78" s="275"/>
      <c r="X78" s="313"/>
      <c r="Y78" s="312"/>
      <c r="Z78" s="314"/>
      <c r="AA78" s="313"/>
      <c r="AB78" s="317"/>
      <c r="AC78" s="278"/>
      <c r="AD78" s="313"/>
      <c r="AE78" s="312"/>
      <c r="AF78" s="314"/>
      <c r="AG78" s="323"/>
      <c r="AH78" s="320"/>
      <c r="AI78" s="275"/>
      <c r="AJ78" s="313"/>
      <c r="AK78" s="312"/>
      <c r="AL78" s="314"/>
      <c r="AM78" s="319"/>
      <c r="AN78" s="320"/>
      <c r="AO78" s="278"/>
      <c r="AP78" s="313"/>
      <c r="AQ78" s="312"/>
      <c r="AR78" s="314"/>
      <c r="AS78" s="319"/>
      <c r="AT78" s="320"/>
      <c r="AU78" s="296"/>
      <c r="AV78" s="313"/>
      <c r="AW78" s="312"/>
      <c r="AX78" s="314"/>
      <c r="AY78" s="319"/>
      <c r="AZ78" s="320"/>
      <c r="BA78" s="296"/>
      <c r="BB78" s="313"/>
      <c r="BC78" s="312"/>
      <c r="BD78" s="314"/>
      <c r="BE78" s="313"/>
      <c r="BF78" s="317"/>
    </row>
    <row r="79" spans="1:58" ht="15.75" thickBot="1" x14ac:dyDescent="0.3">
      <c r="A79" s="371" t="s">
        <v>296</v>
      </c>
      <c r="B79" s="97" t="s">
        <v>289</v>
      </c>
      <c r="C79" s="114" t="s">
        <v>46</v>
      </c>
      <c r="D79" s="371" t="s">
        <v>149</v>
      </c>
      <c r="E79" s="358" t="s">
        <v>290</v>
      </c>
      <c r="F79" s="313">
        <v>468165.16200000001</v>
      </c>
      <c r="G79" s="312">
        <v>465028.46</v>
      </c>
      <c r="H79" s="313">
        <v>681899.68</v>
      </c>
      <c r="I79" s="313">
        <v>788319.87300000002</v>
      </c>
      <c r="J79" s="313">
        <v>786506.73729209998</v>
      </c>
      <c r="K79" s="289"/>
      <c r="L79" s="313">
        <v>468164.1</v>
      </c>
      <c r="M79" s="312">
        <v>465027.41</v>
      </c>
      <c r="N79" s="313">
        <v>673733.12</v>
      </c>
      <c r="O79" s="322">
        <v>788319.87300000002</v>
      </c>
      <c r="P79" s="313">
        <v>786506.73729209998</v>
      </c>
      <c r="Q79" s="289"/>
      <c r="R79" s="322">
        <v>470639.58804710465</v>
      </c>
      <c r="S79" s="312">
        <v>467486.30280718906</v>
      </c>
      <c r="T79" s="313">
        <v>681899.68</v>
      </c>
      <c r="U79" s="319">
        <v>789765.1942628565</v>
      </c>
      <c r="V79" s="313">
        <v>787948.73431605194</v>
      </c>
      <c r="W79" s="275"/>
      <c r="X79" s="313">
        <v>468198.64</v>
      </c>
      <c r="Y79" s="312">
        <v>465061.71</v>
      </c>
      <c r="Z79" s="319">
        <v>681900.8</v>
      </c>
      <c r="AA79" s="313">
        <v>788341.4</v>
      </c>
      <c r="AB79" s="313">
        <v>786528.21478000004</v>
      </c>
      <c r="AC79" s="278"/>
      <c r="AD79" s="313">
        <v>468492.75</v>
      </c>
      <c r="AE79" s="312">
        <v>465353.85</v>
      </c>
      <c r="AF79" s="313">
        <v>679053.76</v>
      </c>
      <c r="AG79" s="259">
        <v>788510.25224932958</v>
      </c>
      <c r="AH79" s="313">
        <v>786696.67866915616</v>
      </c>
      <c r="AI79" s="275"/>
      <c r="AJ79" s="313">
        <v>480031.5</v>
      </c>
      <c r="AK79" s="312">
        <v>476815.29</v>
      </c>
      <c r="AL79" s="313">
        <v>664631.36</v>
      </c>
      <c r="AM79" s="313">
        <v>789574.36594960012</v>
      </c>
      <c r="AN79" s="313">
        <v>787758.34490791603</v>
      </c>
      <c r="AO79" s="278"/>
      <c r="AP79" s="313">
        <v>468493.11</v>
      </c>
      <c r="AQ79" s="312">
        <v>465354.2</v>
      </c>
      <c r="AR79" s="313">
        <v>695407.2</v>
      </c>
      <c r="AS79" s="313">
        <v>788510.8188861392</v>
      </c>
      <c r="AT79" s="313">
        <v>786697.24400270113</v>
      </c>
      <c r="AU79" s="296"/>
      <c r="AV79" s="313">
        <v>469107.94</v>
      </c>
      <c r="AW79" s="312">
        <v>465964.9163224746</v>
      </c>
      <c r="AX79" s="313">
        <v>681900.96</v>
      </c>
      <c r="AY79" s="313">
        <v>788986.26338416501</v>
      </c>
      <c r="AZ79" s="313">
        <v>787171.59497838141</v>
      </c>
      <c r="BA79" s="296"/>
      <c r="BB79" s="313">
        <v>474613.02</v>
      </c>
      <c r="BC79" s="312">
        <v>471433.12</v>
      </c>
      <c r="BD79" s="313">
        <v>670488.80000000005</v>
      </c>
      <c r="BE79" s="313">
        <v>788319.87300000002</v>
      </c>
      <c r="BF79" s="313">
        <v>786506.73729209998</v>
      </c>
    </row>
    <row r="80" spans="1:58" ht="30.75" thickBot="1" x14ac:dyDescent="0.3">
      <c r="A80" s="372"/>
      <c r="B80" s="99" t="s">
        <v>304</v>
      </c>
      <c r="C80" s="99" t="s">
        <v>304</v>
      </c>
      <c r="D80" s="372"/>
      <c r="E80" s="335"/>
      <c r="F80" s="313"/>
      <c r="G80" s="312"/>
      <c r="H80" s="313"/>
      <c r="I80" s="313"/>
      <c r="J80" s="313"/>
      <c r="K80" s="294"/>
      <c r="L80" s="313"/>
      <c r="M80" s="312"/>
      <c r="N80" s="313"/>
      <c r="O80" s="322"/>
      <c r="P80" s="313"/>
      <c r="Q80" s="294"/>
      <c r="R80" s="322"/>
      <c r="S80" s="312"/>
      <c r="T80" s="313"/>
      <c r="U80" s="319"/>
      <c r="V80" s="313"/>
      <c r="W80" s="276"/>
      <c r="X80" s="313"/>
      <c r="Y80" s="312"/>
      <c r="Z80" s="319"/>
      <c r="AA80" s="313"/>
      <c r="AB80" s="313"/>
      <c r="AC80" s="279"/>
      <c r="AD80" s="313"/>
      <c r="AE80" s="312"/>
      <c r="AF80" s="313"/>
      <c r="AG80" s="259"/>
      <c r="AH80" s="313"/>
      <c r="AI80" s="276"/>
      <c r="AJ80" s="313"/>
      <c r="AK80" s="312"/>
      <c r="AL80" s="313"/>
      <c r="AM80" s="313"/>
      <c r="AN80" s="313"/>
      <c r="AO80" s="279"/>
      <c r="AP80" s="313"/>
      <c r="AQ80" s="312"/>
      <c r="AR80" s="313"/>
      <c r="AS80" s="313"/>
      <c r="AT80" s="313"/>
      <c r="AU80" s="297"/>
      <c r="AV80" s="313"/>
      <c r="AW80" s="312"/>
      <c r="AX80" s="313"/>
      <c r="AY80" s="313"/>
      <c r="AZ80" s="313"/>
      <c r="BA80" s="297"/>
      <c r="BB80" s="313"/>
      <c r="BC80" s="312"/>
      <c r="BD80" s="318"/>
      <c r="BE80" s="313"/>
      <c r="BF80" s="313"/>
    </row>
    <row r="81" spans="1:58" ht="15.75" customHeight="1" x14ac:dyDescent="0.25">
      <c r="A81" s="265"/>
      <c r="B81" s="413"/>
      <c r="C81" s="413"/>
      <c r="D81" s="413"/>
      <c r="E81" s="413"/>
      <c r="F81" s="413"/>
      <c r="G81" s="413"/>
      <c r="H81" s="413"/>
      <c r="I81" s="413"/>
      <c r="J81" s="413"/>
      <c r="K81" s="413"/>
      <c r="L81" s="413"/>
      <c r="M81" s="413"/>
      <c r="N81" s="413"/>
      <c r="O81" s="413"/>
      <c r="P81" s="413"/>
      <c r="Q81" s="413"/>
      <c r="R81" s="413"/>
      <c r="S81" s="413"/>
      <c r="T81" s="413"/>
      <c r="U81" s="413"/>
      <c r="V81" s="413"/>
      <c r="W81" s="413"/>
      <c r="X81" s="413"/>
      <c r="Y81" s="413"/>
      <c r="Z81" s="413"/>
      <c r="AA81" s="413"/>
      <c r="AB81" s="413"/>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3"/>
      <c r="AY81" s="413"/>
      <c r="AZ81" s="413"/>
      <c r="BA81" s="413"/>
      <c r="BB81" s="413"/>
      <c r="BC81" s="413"/>
      <c r="BD81" s="413"/>
      <c r="BE81" s="274"/>
      <c r="BF81" s="274"/>
    </row>
    <row r="82" spans="1:58" ht="16.5" customHeight="1" thickBot="1" x14ac:dyDescent="0.3">
      <c r="A82" s="414"/>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66"/>
      <c r="AT82" s="266"/>
      <c r="AU82" s="281"/>
      <c r="AV82" s="281"/>
      <c r="AW82" s="281"/>
      <c r="AX82" s="281"/>
      <c r="AY82" s="281"/>
      <c r="AZ82" s="281"/>
      <c r="BA82" s="281"/>
      <c r="BB82" s="281"/>
      <c r="BC82" s="281"/>
      <c r="BD82" s="281"/>
      <c r="BE82" s="276"/>
      <c r="BF82" s="276"/>
    </row>
    <row r="83" spans="1:58" ht="15.75" thickBot="1" x14ac:dyDescent="0.3">
      <c r="A83" s="334" t="s">
        <v>291</v>
      </c>
      <c r="B83" s="115" t="s">
        <v>305</v>
      </c>
      <c r="C83" s="116" t="s">
        <v>43</v>
      </c>
      <c r="D83" s="332" t="s">
        <v>132</v>
      </c>
      <c r="E83" s="334" t="s">
        <v>293</v>
      </c>
      <c r="F83" s="313">
        <v>202729.86</v>
      </c>
      <c r="G83" s="313">
        <v>201858.12</v>
      </c>
      <c r="H83" s="313">
        <v>193336.65</v>
      </c>
      <c r="I83" s="322">
        <v>187860.87000000002</v>
      </c>
      <c r="J83" s="312">
        <v>169093.56908700001</v>
      </c>
      <c r="K83" s="275"/>
      <c r="L83" s="313">
        <v>202729.41</v>
      </c>
      <c r="M83" s="312">
        <v>201857.67</v>
      </c>
      <c r="N83" s="313">
        <v>208102.05</v>
      </c>
      <c r="O83" s="322">
        <v>187860.87000000002</v>
      </c>
      <c r="P83" s="312">
        <v>169093.56908700001</v>
      </c>
      <c r="Q83" s="275"/>
      <c r="R83" s="322">
        <v>203417.37960031055</v>
      </c>
      <c r="S83" s="313">
        <v>202542.68486802923</v>
      </c>
      <c r="T83" s="313">
        <v>193725</v>
      </c>
      <c r="U83" s="313">
        <v>202803.8322007845</v>
      </c>
      <c r="V83" s="312">
        <v>182543.72936392613</v>
      </c>
      <c r="W83" s="275"/>
      <c r="X83" s="313">
        <v>202744.36</v>
      </c>
      <c r="Y83" s="313">
        <v>201872.56</v>
      </c>
      <c r="Z83" s="313">
        <v>196456.5</v>
      </c>
      <c r="AA83" s="313">
        <v>187866</v>
      </c>
      <c r="AB83" s="312">
        <v>169098.18660000002</v>
      </c>
      <c r="AC83" s="275"/>
      <c r="AD83" s="313">
        <v>202820.63</v>
      </c>
      <c r="AE83" s="313">
        <v>201948.5</v>
      </c>
      <c r="AF83" s="313">
        <v>193835.47500000001</v>
      </c>
      <c r="AG83" s="313">
        <v>189831.43659586503</v>
      </c>
      <c r="AH83" s="312">
        <v>170867.27607993811</v>
      </c>
      <c r="AI83" s="275"/>
      <c r="AJ83" s="313">
        <v>207530.65</v>
      </c>
      <c r="AK83" s="313">
        <v>206638.27</v>
      </c>
      <c r="AL83" s="313">
        <v>192180.375</v>
      </c>
      <c r="AM83" s="313">
        <v>200628.11311200002</v>
      </c>
      <c r="AN83" s="312">
        <v>180585.36461211121</v>
      </c>
      <c r="AO83" s="275"/>
      <c r="AP83" s="313">
        <v>202820.78</v>
      </c>
      <c r="AQ83" s="313">
        <v>201948.66</v>
      </c>
      <c r="AR83" s="313">
        <v>192958.42500000002</v>
      </c>
      <c r="AS83" s="313">
        <v>189831.57301194748</v>
      </c>
      <c r="AT83" s="312">
        <v>170867.39886805392</v>
      </c>
      <c r="AU83" s="275"/>
      <c r="AV83" s="313">
        <v>202992.15</v>
      </c>
      <c r="AW83" s="313">
        <v>202119.28</v>
      </c>
      <c r="AX83" s="313">
        <v>192284.09999999998</v>
      </c>
      <c r="AY83" s="313">
        <v>190771.33312754999</v>
      </c>
      <c r="AZ83" s="312">
        <v>171713.27694810776</v>
      </c>
      <c r="BA83" s="274"/>
      <c r="BB83" s="313">
        <v>205521.99</v>
      </c>
      <c r="BC83" s="313">
        <v>204638.24</v>
      </c>
      <c r="BD83" s="313">
        <v>193468.72500000001</v>
      </c>
      <c r="BE83" s="313">
        <v>187860.87000000002</v>
      </c>
      <c r="BF83" s="312">
        <v>169093.56908700001</v>
      </c>
    </row>
    <row r="84" spans="1:58" ht="30.75" thickBot="1" x14ac:dyDescent="0.3">
      <c r="A84" s="372"/>
      <c r="B84" s="99" t="s">
        <v>295</v>
      </c>
      <c r="C84" s="99" t="s">
        <v>295</v>
      </c>
      <c r="D84" s="333"/>
      <c r="E84" s="335"/>
      <c r="F84" s="313"/>
      <c r="G84" s="313"/>
      <c r="H84" s="313"/>
      <c r="I84" s="322"/>
      <c r="J84" s="312"/>
      <c r="K84" s="275"/>
      <c r="L84" s="313"/>
      <c r="M84" s="312"/>
      <c r="N84" s="313"/>
      <c r="O84" s="322"/>
      <c r="P84" s="312"/>
      <c r="Q84" s="275"/>
      <c r="R84" s="322"/>
      <c r="S84" s="313"/>
      <c r="T84" s="313"/>
      <c r="U84" s="313"/>
      <c r="V84" s="312"/>
      <c r="W84" s="275"/>
      <c r="X84" s="313"/>
      <c r="Y84" s="313"/>
      <c r="Z84" s="313"/>
      <c r="AA84" s="313"/>
      <c r="AB84" s="312"/>
      <c r="AC84" s="275"/>
      <c r="AD84" s="313"/>
      <c r="AE84" s="313"/>
      <c r="AF84" s="313"/>
      <c r="AG84" s="313"/>
      <c r="AH84" s="312"/>
      <c r="AI84" s="275"/>
      <c r="AJ84" s="313"/>
      <c r="AK84" s="313"/>
      <c r="AL84" s="313"/>
      <c r="AM84" s="313"/>
      <c r="AN84" s="312"/>
      <c r="AO84" s="275"/>
      <c r="AP84" s="313"/>
      <c r="AQ84" s="313"/>
      <c r="AR84" s="313"/>
      <c r="AS84" s="313"/>
      <c r="AT84" s="312"/>
      <c r="AU84" s="275"/>
      <c r="AV84" s="313"/>
      <c r="AW84" s="313"/>
      <c r="AX84" s="313"/>
      <c r="AY84" s="313"/>
      <c r="AZ84" s="312"/>
      <c r="BA84" s="275"/>
      <c r="BB84" s="313"/>
      <c r="BC84" s="313"/>
      <c r="BD84" s="318"/>
      <c r="BE84" s="313"/>
      <c r="BF84" s="312"/>
    </row>
    <row r="85" spans="1:58" ht="15.75" thickBot="1" x14ac:dyDescent="0.3">
      <c r="A85" s="371" t="s">
        <v>296</v>
      </c>
      <c r="B85" s="97" t="s">
        <v>306</v>
      </c>
      <c r="C85" s="114" t="s">
        <v>45</v>
      </c>
      <c r="D85" s="411" t="s">
        <v>141</v>
      </c>
      <c r="E85" s="358" t="s">
        <v>293</v>
      </c>
      <c r="F85" s="313">
        <v>316848.4425</v>
      </c>
      <c r="G85" s="312">
        <v>315834.52748400002</v>
      </c>
      <c r="H85" s="313">
        <v>340949.84</v>
      </c>
      <c r="I85" s="322">
        <v>378783.1764</v>
      </c>
      <c r="J85" s="313">
        <v>368101.49082552001</v>
      </c>
      <c r="K85" s="275"/>
      <c r="L85" s="313">
        <v>316847.72700000001</v>
      </c>
      <c r="M85" s="312">
        <v>315833.8142736</v>
      </c>
      <c r="N85" s="313">
        <v>336866.56</v>
      </c>
      <c r="O85" s="322">
        <v>378783.1764</v>
      </c>
      <c r="P85" s="313">
        <v>368101.49082552001</v>
      </c>
      <c r="Q85" s="275"/>
      <c r="R85" s="322">
        <v>317647.90692367492</v>
      </c>
      <c r="S85" s="312">
        <v>316631.43362151919</v>
      </c>
      <c r="T85" s="313">
        <v>340949.84</v>
      </c>
      <c r="U85" s="319">
        <v>387288.76938939007</v>
      </c>
      <c r="V85" s="313">
        <v>376367.22609260929</v>
      </c>
      <c r="W85" s="275"/>
      <c r="X85" s="313">
        <v>316871.10000000003</v>
      </c>
      <c r="Y85" s="312">
        <v>315857.11248000001</v>
      </c>
      <c r="Z85" s="313">
        <v>340950.4</v>
      </c>
      <c r="AA85" s="313">
        <v>378793.51999999996</v>
      </c>
      <c r="AB85" s="313">
        <v>368111.54273599997</v>
      </c>
      <c r="AC85" s="275"/>
      <c r="AD85" s="313">
        <v>316953.71067600005</v>
      </c>
      <c r="AE85" s="312">
        <v>315939.45880183682</v>
      </c>
      <c r="AF85" s="313">
        <v>339526.88</v>
      </c>
      <c r="AG85" s="313">
        <v>379904.75338532042</v>
      </c>
      <c r="AH85" s="313">
        <v>369191.43933985441</v>
      </c>
      <c r="AI85" s="275"/>
      <c r="AJ85" s="313">
        <v>324109.73145600001</v>
      </c>
      <c r="AK85" s="312">
        <v>323072.58031534083</v>
      </c>
      <c r="AL85" s="313">
        <v>332315.68</v>
      </c>
      <c r="AM85" s="313">
        <v>386057.26453951997</v>
      </c>
      <c r="AN85" s="313">
        <v>375170.44967950549</v>
      </c>
      <c r="AO85" s="275"/>
      <c r="AP85" s="313">
        <v>316953.94925613608</v>
      </c>
      <c r="AQ85" s="312">
        <v>315939.69661851646</v>
      </c>
      <c r="AR85" s="313">
        <v>347703.6</v>
      </c>
      <c r="AS85" s="313">
        <v>379905.02639130456</v>
      </c>
      <c r="AT85" s="313">
        <v>369191.7046470698</v>
      </c>
      <c r="AU85" s="275"/>
      <c r="AV85" s="313">
        <v>317153.81</v>
      </c>
      <c r="AW85" s="312">
        <v>316138.917808</v>
      </c>
      <c r="AX85" s="313">
        <v>340950.48</v>
      </c>
      <c r="AY85" s="313">
        <v>380575.68181474798</v>
      </c>
      <c r="AZ85" s="313">
        <v>369843.4475875721</v>
      </c>
      <c r="BA85" s="275"/>
      <c r="BB85" s="313">
        <v>321212.28000000003</v>
      </c>
      <c r="BC85" s="312">
        <v>320184.40000000002</v>
      </c>
      <c r="BD85" s="313">
        <v>335244.40000000002</v>
      </c>
      <c r="BE85" s="313">
        <v>378783.1764</v>
      </c>
      <c r="BF85" s="313">
        <v>368101.49082552001</v>
      </c>
    </row>
    <row r="86" spans="1:58" ht="30.75" thickBot="1" x14ac:dyDescent="0.3">
      <c r="A86" s="372"/>
      <c r="B86" s="99" t="s">
        <v>298</v>
      </c>
      <c r="C86" s="107" t="s">
        <v>298</v>
      </c>
      <c r="D86" s="333"/>
      <c r="E86" s="335"/>
      <c r="F86" s="313"/>
      <c r="G86" s="312"/>
      <c r="H86" s="313"/>
      <c r="I86" s="322"/>
      <c r="J86" s="313"/>
      <c r="K86" s="276"/>
      <c r="L86" s="313"/>
      <c r="M86" s="312"/>
      <c r="N86" s="313"/>
      <c r="O86" s="322"/>
      <c r="P86" s="313"/>
      <c r="Q86" s="276"/>
      <c r="R86" s="322"/>
      <c r="S86" s="312"/>
      <c r="T86" s="313"/>
      <c r="U86" s="319"/>
      <c r="V86" s="313"/>
      <c r="W86" s="276"/>
      <c r="X86" s="313"/>
      <c r="Y86" s="312"/>
      <c r="Z86" s="313"/>
      <c r="AA86" s="313"/>
      <c r="AB86" s="313"/>
      <c r="AC86" s="276"/>
      <c r="AD86" s="313"/>
      <c r="AE86" s="312"/>
      <c r="AF86" s="313"/>
      <c r="AG86" s="313"/>
      <c r="AH86" s="313"/>
      <c r="AI86" s="276"/>
      <c r="AJ86" s="313"/>
      <c r="AK86" s="312"/>
      <c r="AL86" s="313"/>
      <c r="AM86" s="313"/>
      <c r="AN86" s="313"/>
      <c r="AO86" s="276"/>
      <c r="AP86" s="313"/>
      <c r="AQ86" s="312"/>
      <c r="AR86" s="313"/>
      <c r="AS86" s="313"/>
      <c r="AT86" s="313"/>
      <c r="AU86" s="276"/>
      <c r="AV86" s="313"/>
      <c r="AW86" s="312"/>
      <c r="AX86" s="313"/>
      <c r="AY86" s="313"/>
      <c r="AZ86" s="313"/>
      <c r="BA86" s="276"/>
      <c r="BB86" s="313"/>
      <c r="BC86" s="312"/>
      <c r="BD86" s="318"/>
      <c r="BE86" s="313"/>
      <c r="BF86" s="313"/>
    </row>
    <row r="87" spans="1:58" ht="15.75" customHeight="1" x14ac:dyDescent="0.25">
      <c r="A87" s="265"/>
      <c r="B87" s="413"/>
      <c r="C87" s="413"/>
      <c r="D87" s="413"/>
      <c r="E87" s="413"/>
      <c r="F87" s="413"/>
      <c r="G87" s="413"/>
      <c r="H87" s="413"/>
      <c r="I87" s="413"/>
      <c r="J87" s="413"/>
      <c r="K87" s="413"/>
      <c r="L87" s="413"/>
      <c r="M87" s="413"/>
      <c r="N87" s="413"/>
      <c r="O87" s="413"/>
      <c r="P87" s="413"/>
      <c r="Q87" s="413"/>
      <c r="R87" s="413"/>
      <c r="S87" s="413"/>
      <c r="T87" s="413"/>
      <c r="U87" s="413"/>
      <c r="V87" s="413"/>
      <c r="W87" s="413"/>
      <c r="X87" s="413"/>
      <c r="Y87" s="413"/>
      <c r="Z87" s="413"/>
      <c r="AA87" s="413"/>
      <c r="AB87" s="413"/>
      <c r="AC87" s="413"/>
      <c r="AD87" s="413"/>
      <c r="AE87" s="413"/>
      <c r="AF87" s="413"/>
      <c r="AG87" s="413"/>
      <c r="AH87" s="413"/>
      <c r="AI87" s="413"/>
      <c r="AJ87" s="413"/>
      <c r="AK87" s="413"/>
      <c r="AL87" s="413"/>
      <c r="AM87" s="413"/>
      <c r="AN87" s="413"/>
      <c r="AO87" s="413"/>
      <c r="AP87" s="413"/>
      <c r="AQ87" s="413"/>
      <c r="AR87" s="413"/>
      <c r="AS87" s="413"/>
      <c r="AT87" s="413"/>
      <c r="AU87" s="413"/>
      <c r="AV87" s="413"/>
      <c r="AW87" s="413"/>
      <c r="AX87" s="413"/>
      <c r="AY87" s="413"/>
      <c r="AZ87" s="413"/>
      <c r="BA87" s="413"/>
      <c r="BB87" s="413"/>
      <c r="BC87" s="413"/>
      <c r="BD87" s="413"/>
      <c r="BE87" s="274"/>
      <c r="BF87" s="274"/>
    </row>
    <row r="88" spans="1:58" ht="16.5" customHeight="1" thickBot="1" x14ac:dyDescent="0.3">
      <c r="A88" s="414"/>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76"/>
      <c r="BF88" s="276"/>
    </row>
    <row r="89" spans="1:58" ht="16.5" customHeight="1" thickBot="1" x14ac:dyDescent="0.3">
      <c r="A89" s="337" t="s">
        <v>291</v>
      </c>
      <c r="B89" s="136" t="s">
        <v>305</v>
      </c>
      <c r="C89" s="116" t="s">
        <v>43</v>
      </c>
      <c r="D89" s="339" t="s">
        <v>132</v>
      </c>
      <c r="E89" s="341" t="s">
        <v>300</v>
      </c>
      <c r="F89" s="313">
        <v>202729.86</v>
      </c>
      <c r="G89" s="313">
        <v>201858.12</v>
      </c>
      <c r="H89" s="314">
        <f>8592.74*22.5</f>
        <v>193336.65</v>
      </c>
      <c r="I89" s="322">
        <v>187860.87000000002</v>
      </c>
      <c r="J89" s="312">
        <v>169093.56908700001</v>
      </c>
      <c r="K89" s="290"/>
      <c r="L89" s="313">
        <v>202729.41</v>
      </c>
      <c r="M89" s="312">
        <v>201857.67</v>
      </c>
      <c r="N89" s="314">
        <f>9248.98*22.5</f>
        <v>208102.05</v>
      </c>
      <c r="O89" s="322">
        <v>187860.87000000002</v>
      </c>
      <c r="P89" s="312">
        <v>169093.56908700001</v>
      </c>
      <c r="Q89" s="282"/>
      <c r="R89" s="322">
        <v>203417.37960031055</v>
      </c>
      <c r="S89" s="313">
        <v>202542.68486802923</v>
      </c>
      <c r="T89" s="314">
        <f>8610*22.5</f>
        <v>193725</v>
      </c>
      <c r="U89" s="313">
        <v>202803.8322007845</v>
      </c>
      <c r="V89" s="312">
        <v>182543.72936392613</v>
      </c>
      <c r="W89" s="290"/>
      <c r="X89" s="313">
        <v>202744.36</v>
      </c>
      <c r="Y89" s="313">
        <v>201872.56</v>
      </c>
      <c r="Z89" s="314">
        <f>8731.4*22.5</f>
        <v>196456.5</v>
      </c>
      <c r="AA89" s="313">
        <v>187866</v>
      </c>
      <c r="AB89" s="312">
        <v>169098.18660000002</v>
      </c>
      <c r="AC89" s="282"/>
      <c r="AD89" s="313">
        <v>202820.63</v>
      </c>
      <c r="AE89" s="313">
        <v>201948.5</v>
      </c>
      <c r="AF89" s="313">
        <v>193835.47500000001</v>
      </c>
      <c r="AG89" s="313">
        <v>189831.43659586503</v>
      </c>
      <c r="AH89" s="312">
        <v>170867.27607993811</v>
      </c>
      <c r="AI89" s="280"/>
      <c r="AJ89" s="313">
        <v>207530.65</v>
      </c>
      <c r="AK89" s="313">
        <v>206638.27</v>
      </c>
      <c r="AL89" s="314">
        <f>8541.35*22.5</f>
        <v>192180.375</v>
      </c>
      <c r="AM89" s="313">
        <v>200628.11311200002</v>
      </c>
      <c r="AN89" s="312">
        <v>180585.36461211121</v>
      </c>
      <c r="AO89" s="282"/>
      <c r="AP89" s="313">
        <v>202820.78</v>
      </c>
      <c r="AQ89" s="317">
        <v>201948.66</v>
      </c>
      <c r="AR89" s="314">
        <f>8575.93*22.5</f>
        <v>192958.42500000002</v>
      </c>
      <c r="AS89" s="313">
        <v>189831.57301194748</v>
      </c>
      <c r="AT89" s="312">
        <v>170867.39886805392</v>
      </c>
      <c r="AU89" s="304"/>
      <c r="AV89" s="313">
        <v>202992.15</v>
      </c>
      <c r="AW89" s="313">
        <v>202119.28</v>
      </c>
      <c r="AX89" s="314">
        <f>8545.96*22.5</f>
        <v>192284.09999999998</v>
      </c>
      <c r="AY89" s="313">
        <v>190771.33312754999</v>
      </c>
      <c r="AZ89" s="312">
        <v>171713.27694810776</v>
      </c>
      <c r="BA89" s="282"/>
      <c r="BB89" s="313">
        <v>205521.99</v>
      </c>
      <c r="BC89" s="313">
        <v>204638.24</v>
      </c>
      <c r="BD89" s="314">
        <f>8598.61*22.5</f>
        <v>193468.72500000001</v>
      </c>
      <c r="BE89" s="313">
        <v>187860.87000000002</v>
      </c>
      <c r="BF89" s="312">
        <v>169093.56908700001</v>
      </c>
    </row>
    <row r="90" spans="1:58" ht="31.5" customHeight="1" thickBot="1" x14ac:dyDescent="0.3">
      <c r="A90" s="338"/>
      <c r="B90" s="135" t="s">
        <v>295</v>
      </c>
      <c r="C90" s="135" t="s">
        <v>295</v>
      </c>
      <c r="D90" s="340"/>
      <c r="E90" s="342"/>
      <c r="F90" s="313"/>
      <c r="G90" s="313"/>
      <c r="H90" s="314"/>
      <c r="I90" s="322"/>
      <c r="J90" s="312"/>
      <c r="K90" s="291"/>
      <c r="L90" s="313"/>
      <c r="M90" s="312"/>
      <c r="N90" s="314"/>
      <c r="O90" s="322"/>
      <c r="P90" s="312"/>
      <c r="Q90" s="283"/>
      <c r="R90" s="322"/>
      <c r="S90" s="313"/>
      <c r="T90" s="314"/>
      <c r="U90" s="313"/>
      <c r="V90" s="312"/>
      <c r="W90" s="291"/>
      <c r="X90" s="313"/>
      <c r="Y90" s="313"/>
      <c r="Z90" s="314"/>
      <c r="AA90" s="313"/>
      <c r="AB90" s="312"/>
      <c r="AC90" s="283"/>
      <c r="AD90" s="313"/>
      <c r="AE90" s="313"/>
      <c r="AF90" s="313"/>
      <c r="AG90" s="313"/>
      <c r="AH90" s="312"/>
      <c r="AI90" s="266"/>
      <c r="AJ90" s="313"/>
      <c r="AK90" s="313"/>
      <c r="AL90" s="314"/>
      <c r="AM90" s="313"/>
      <c r="AN90" s="312"/>
      <c r="AO90" s="283"/>
      <c r="AP90" s="313"/>
      <c r="AQ90" s="317"/>
      <c r="AR90" s="314"/>
      <c r="AS90" s="313"/>
      <c r="AT90" s="312"/>
      <c r="AU90" s="267"/>
      <c r="AV90" s="313"/>
      <c r="AW90" s="313"/>
      <c r="AX90" s="314"/>
      <c r="AY90" s="313"/>
      <c r="AZ90" s="312"/>
      <c r="BA90" s="283"/>
      <c r="BB90" s="313"/>
      <c r="BC90" s="313"/>
      <c r="BD90" s="314"/>
      <c r="BE90" s="313"/>
      <c r="BF90" s="312"/>
    </row>
    <row r="91" spans="1:58" ht="15.75" thickBot="1" x14ac:dyDescent="0.3">
      <c r="A91" s="334" t="s">
        <v>291</v>
      </c>
      <c r="B91" s="115" t="s">
        <v>307</v>
      </c>
      <c r="C91" s="116" t="s">
        <v>44</v>
      </c>
      <c r="D91" s="332" t="s">
        <v>135</v>
      </c>
      <c r="E91" s="334" t="s">
        <v>300</v>
      </c>
      <c r="F91" s="324">
        <v>202729.86</v>
      </c>
      <c r="G91" s="312">
        <v>201858.12</v>
      </c>
      <c r="H91" s="313">
        <v>206225.76</v>
      </c>
      <c r="I91" s="313">
        <v>223067.38860000003</v>
      </c>
      <c r="J91" s="312">
        <v>204128.96730786003</v>
      </c>
      <c r="K91" s="291"/>
      <c r="L91" s="313">
        <v>202729.41</v>
      </c>
      <c r="M91" s="312">
        <v>201857.67</v>
      </c>
      <c r="N91" s="313">
        <v>221975.52</v>
      </c>
      <c r="O91" s="322">
        <v>223067.38860000003</v>
      </c>
      <c r="P91" s="312">
        <v>204128.96730786003</v>
      </c>
      <c r="Q91" s="283"/>
      <c r="R91" s="322">
        <v>203417.37960031055</v>
      </c>
      <c r="S91" s="312">
        <v>202542.68486802923</v>
      </c>
      <c r="T91" s="313">
        <v>206640</v>
      </c>
      <c r="U91" s="313">
        <v>238146.67304038192</v>
      </c>
      <c r="V91" s="313">
        <v>217928.0204992535</v>
      </c>
      <c r="W91" s="291"/>
      <c r="X91" s="313">
        <v>202744.36</v>
      </c>
      <c r="Y91" s="312">
        <v>201872.56</v>
      </c>
      <c r="Z91" s="313">
        <v>209553.59999999998</v>
      </c>
      <c r="AA91" s="313">
        <v>223073.48</v>
      </c>
      <c r="AB91" s="312">
        <v>204134.54154800001</v>
      </c>
      <c r="AC91" s="283"/>
      <c r="AD91" s="313">
        <v>202820.63</v>
      </c>
      <c r="AE91" s="312">
        <v>201948.5</v>
      </c>
      <c r="AF91" s="313">
        <v>206757.84</v>
      </c>
      <c r="AG91" s="313">
        <v>225055.92283567472</v>
      </c>
      <c r="AH91" s="312">
        <v>205948.67498692594</v>
      </c>
      <c r="AI91" s="266"/>
      <c r="AJ91" s="313">
        <v>207530.65</v>
      </c>
      <c r="AK91" s="313">
        <v>206638.27</v>
      </c>
      <c r="AL91" s="313">
        <v>204992.40000000002</v>
      </c>
      <c r="AM91" s="322">
        <v>235951.95814736004</v>
      </c>
      <c r="AN91" s="313">
        <v>215919.63690064917</v>
      </c>
      <c r="AO91" s="283"/>
      <c r="AP91" s="313">
        <v>202820.78</v>
      </c>
      <c r="AQ91" s="312">
        <v>201948.66</v>
      </c>
      <c r="AR91" s="313">
        <v>205822.32</v>
      </c>
      <c r="AS91" s="313">
        <v>225056.08456466903</v>
      </c>
      <c r="AT91" s="313">
        <v>205948.82298512862</v>
      </c>
      <c r="AU91" s="267"/>
      <c r="AV91" s="313">
        <v>202992.15</v>
      </c>
      <c r="AW91" s="312">
        <v>202119.28</v>
      </c>
      <c r="AX91" s="313">
        <v>205103.03999999998</v>
      </c>
      <c r="AY91" s="313">
        <v>226021.14142248899</v>
      </c>
      <c r="AZ91" s="313">
        <v>206831.94651571967</v>
      </c>
      <c r="BA91" s="283"/>
      <c r="BB91" s="313">
        <v>205521.99</v>
      </c>
      <c r="BC91" s="312">
        <v>204638.24</v>
      </c>
      <c r="BD91" s="313">
        <v>206366.64</v>
      </c>
      <c r="BE91" s="313">
        <v>223067.38860000003</v>
      </c>
      <c r="BF91" s="312">
        <v>204128.96730786003</v>
      </c>
    </row>
    <row r="92" spans="1:58" ht="30.75" thickBot="1" x14ac:dyDescent="0.3">
      <c r="A92" s="372"/>
      <c r="B92" s="99" t="s">
        <v>301</v>
      </c>
      <c r="C92" s="99" t="s">
        <v>301</v>
      </c>
      <c r="D92" s="333"/>
      <c r="E92" s="335"/>
      <c r="F92" s="324"/>
      <c r="G92" s="312"/>
      <c r="H92" s="313"/>
      <c r="I92" s="313"/>
      <c r="J92" s="312"/>
      <c r="K92" s="291"/>
      <c r="L92" s="313"/>
      <c r="M92" s="312"/>
      <c r="N92" s="313"/>
      <c r="O92" s="322"/>
      <c r="P92" s="312"/>
      <c r="Q92" s="283"/>
      <c r="R92" s="322"/>
      <c r="S92" s="312"/>
      <c r="T92" s="313"/>
      <c r="U92" s="313"/>
      <c r="V92" s="313"/>
      <c r="W92" s="291"/>
      <c r="X92" s="313"/>
      <c r="Y92" s="312"/>
      <c r="Z92" s="313"/>
      <c r="AA92" s="313"/>
      <c r="AB92" s="312"/>
      <c r="AC92" s="283"/>
      <c r="AD92" s="313"/>
      <c r="AE92" s="312"/>
      <c r="AF92" s="313"/>
      <c r="AG92" s="313"/>
      <c r="AH92" s="312"/>
      <c r="AI92" s="266"/>
      <c r="AJ92" s="313"/>
      <c r="AK92" s="313"/>
      <c r="AL92" s="313"/>
      <c r="AM92" s="322"/>
      <c r="AN92" s="313"/>
      <c r="AO92" s="283"/>
      <c r="AP92" s="313"/>
      <c r="AQ92" s="312"/>
      <c r="AR92" s="313"/>
      <c r="AS92" s="313"/>
      <c r="AT92" s="313"/>
      <c r="AU92" s="267"/>
      <c r="AV92" s="313"/>
      <c r="AW92" s="312"/>
      <c r="AX92" s="313"/>
      <c r="AY92" s="313"/>
      <c r="AZ92" s="313"/>
      <c r="BA92" s="283"/>
      <c r="BB92" s="313"/>
      <c r="BC92" s="312"/>
      <c r="BD92" s="318"/>
      <c r="BE92" s="313"/>
      <c r="BF92" s="312"/>
    </row>
    <row r="93" spans="1:58" ht="15.75" thickBot="1" x14ac:dyDescent="0.3">
      <c r="A93" s="346" t="s">
        <v>291</v>
      </c>
      <c r="B93" s="138" t="s">
        <v>289</v>
      </c>
      <c r="C93" s="113" t="s">
        <v>45</v>
      </c>
      <c r="D93" s="346" t="s">
        <v>144</v>
      </c>
      <c r="E93" s="337" t="s">
        <v>300</v>
      </c>
      <c r="F93" s="313">
        <v>468165.16200000001</v>
      </c>
      <c r="G93" s="317">
        <v>465028.46</v>
      </c>
      <c r="H93" s="313">
        <v>412451.52</v>
      </c>
      <c r="I93" s="322">
        <v>378783.1764</v>
      </c>
      <c r="J93" s="312">
        <v>368101.49082552001</v>
      </c>
      <c r="K93" s="291"/>
      <c r="L93" s="313">
        <v>468164.1</v>
      </c>
      <c r="M93" s="317">
        <v>465027.41</v>
      </c>
      <c r="N93" s="313">
        <v>443951.04</v>
      </c>
      <c r="O93" s="322">
        <v>378783.1764</v>
      </c>
      <c r="P93" s="312">
        <v>368101.49082552001</v>
      </c>
      <c r="Q93" s="283"/>
      <c r="R93" s="322">
        <v>470639.58804710465</v>
      </c>
      <c r="S93" s="320">
        <v>467486.30280718906</v>
      </c>
      <c r="T93" s="319">
        <v>413280</v>
      </c>
      <c r="U93" s="319">
        <v>387288.76938939007</v>
      </c>
      <c r="V93" s="312">
        <v>376367.22609260929</v>
      </c>
      <c r="W93" s="291"/>
      <c r="X93" s="313">
        <v>468198.64</v>
      </c>
      <c r="Y93" s="317">
        <v>465061.71</v>
      </c>
      <c r="Z93" s="319">
        <v>419107.19999999995</v>
      </c>
      <c r="AA93" s="313">
        <v>378793.51999999996</v>
      </c>
      <c r="AB93" s="312">
        <v>368111.54273599997</v>
      </c>
      <c r="AC93" s="283"/>
      <c r="AD93" s="319">
        <v>468492.75</v>
      </c>
      <c r="AE93" s="320">
        <v>465353.85</v>
      </c>
      <c r="AF93" s="319">
        <v>413515.68</v>
      </c>
      <c r="AG93" s="319">
        <v>379904.75338532042</v>
      </c>
      <c r="AH93" s="321">
        <v>369191.43933985441</v>
      </c>
      <c r="AI93" s="266"/>
      <c r="AJ93" s="313">
        <v>480031.5</v>
      </c>
      <c r="AK93" s="317">
        <v>476815.29</v>
      </c>
      <c r="AL93" s="319">
        <v>409984.80000000005</v>
      </c>
      <c r="AM93" s="319">
        <v>386057.26453951997</v>
      </c>
      <c r="AN93" s="321">
        <v>375170.44967950549</v>
      </c>
      <c r="AO93" s="283"/>
      <c r="AP93" s="313">
        <v>468493.11</v>
      </c>
      <c r="AQ93" s="317">
        <v>465354.2</v>
      </c>
      <c r="AR93" s="314">
        <f>8575.93*48</f>
        <v>411644.64</v>
      </c>
      <c r="AS93" s="319">
        <v>379905.02639130456</v>
      </c>
      <c r="AT93" s="321">
        <v>369191.7046470698</v>
      </c>
      <c r="AU93" s="267"/>
      <c r="AV93" s="313">
        <v>469107.94</v>
      </c>
      <c r="AW93" s="317">
        <v>465964.9163224746</v>
      </c>
      <c r="AX93" s="319">
        <v>410206.07999999996</v>
      </c>
      <c r="AY93" s="319">
        <v>380575.68181474798</v>
      </c>
      <c r="AZ93" s="321">
        <v>369843.4475875721</v>
      </c>
      <c r="BA93" s="283"/>
      <c r="BB93" s="313">
        <v>474613.02</v>
      </c>
      <c r="BC93" s="317">
        <v>471433.12</v>
      </c>
      <c r="BD93" s="313">
        <v>412733.28</v>
      </c>
      <c r="BE93" s="313">
        <v>378783.1764</v>
      </c>
      <c r="BF93" s="312">
        <v>368101.49082552001</v>
      </c>
    </row>
    <row r="94" spans="1:58" ht="30.75" thickBot="1" x14ac:dyDescent="0.3">
      <c r="A94" s="338"/>
      <c r="B94" s="135" t="s">
        <v>303</v>
      </c>
      <c r="C94" s="135" t="s">
        <v>303</v>
      </c>
      <c r="D94" s="338"/>
      <c r="E94" s="342"/>
      <c r="F94" s="313"/>
      <c r="G94" s="317"/>
      <c r="H94" s="313"/>
      <c r="I94" s="322"/>
      <c r="J94" s="312"/>
      <c r="K94" s="291"/>
      <c r="L94" s="313"/>
      <c r="M94" s="317"/>
      <c r="N94" s="313"/>
      <c r="O94" s="322"/>
      <c r="P94" s="312"/>
      <c r="Q94" s="283"/>
      <c r="R94" s="322"/>
      <c r="S94" s="320"/>
      <c r="T94" s="319"/>
      <c r="U94" s="319"/>
      <c r="V94" s="312"/>
      <c r="W94" s="291"/>
      <c r="X94" s="313"/>
      <c r="Y94" s="317"/>
      <c r="Z94" s="319"/>
      <c r="AA94" s="313"/>
      <c r="AB94" s="312"/>
      <c r="AC94" s="283"/>
      <c r="AD94" s="319"/>
      <c r="AE94" s="320"/>
      <c r="AF94" s="319"/>
      <c r="AG94" s="319"/>
      <c r="AH94" s="321"/>
      <c r="AI94" s="266"/>
      <c r="AJ94" s="313"/>
      <c r="AK94" s="317"/>
      <c r="AL94" s="319"/>
      <c r="AM94" s="319"/>
      <c r="AN94" s="321"/>
      <c r="AO94" s="283"/>
      <c r="AP94" s="313"/>
      <c r="AQ94" s="317"/>
      <c r="AR94" s="314"/>
      <c r="AS94" s="319"/>
      <c r="AT94" s="321"/>
      <c r="AU94" s="267"/>
      <c r="AV94" s="313"/>
      <c r="AW94" s="317"/>
      <c r="AX94" s="319"/>
      <c r="AY94" s="319"/>
      <c r="AZ94" s="321"/>
      <c r="BA94" s="283"/>
      <c r="BB94" s="313"/>
      <c r="BC94" s="317"/>
      <c r="BD94" s="318"/>
      <c r="BE94" s="313"/>
      <c r="BF94" s="312"/>
    </row>
    <row r="95" spans="1:58" ht="15.75" thickBot="1" x14ac:dyDescent="0.3">
      <c r="A95" s="371" t="s">
        <v>296</v>
      </c>
      <c r="B95" s="97" t="s">
        <v>306</v>
      </c>
      <c r="C95" s="114" t="s">
        <v>45</v>
      </c>
      <c r="D95" s="411" t="s">
        <v>141</v>
      </c>
      <c r="E95" s="358" t="s">
        <v>300</v>
      </c>
      <c r="F95" s="313">
        <v>316848.4425</v>
      </c>
      <c r="G95" s="312">
        <v>315834.52748400002</v>
      </c>
      <c r="H95" s="313">
        <v>340949.84</v>
      </c>
      <c r="I95" s="322">
        <v>378783.1764</v>
      </c>
      <c r="J95" s="313">
        <v>368101.49082552001</v>
      </c>
      <c r="K95" s="291"/>
      <c r="L95" s="313">
        <v>316847.72700000001</v>
      </c>
      <c r="M95" s="312">
        <v>315833.8142736</v>
      </c>
      <c r="N95" s="313">
        <v>336866.56</v>
      </c>
      <c r="O95" s="322">
        <v>378783.1764</v>
      </c>
      <c r="P95" s="313">
        <v>368101.49082552001</v>
      </c>
      <c r="Q95" s="283"/>
      <c r="R95" s="322">
        <v>317647.90692367492</v>
      </c>
      <c r="S95" s="312">
        <v>316631.43362151919</v>
      </c>
      <c r="T95" s="313">
        <v>340949.84</v>
      </c>
      <c r="U95" s="319">
        <v>387288.76938939007</v>
      </c>
      <c r="V95" s="313">
        <v>376367.22609260929</v>
      </c>
      <c r="W95" s="291"/>
      <c r="X95" s="313">
        <v>316871.10000000003</v>
      </c>
      <c r="Y95" s="312">
        <v>315857.11248000001</v>
      </c>
      <c r="Z95" s="313">
        <v>340950.4</v>
      </c>
      <c r="AA95" s="313">
        <v>378793.51999999996</v>
      </c>
      <c r="AB95" s="313">
        <v>368111.54273599997</v>
      </c>
      <c r="AC95" s="283"/>
      <c r="AD95" s="313">
        <v>316953.71067600005</v>
      </c>
      <c r="AE95" s="312">
        <v>315939.45880183682</v>
      </c>
      <c r="AF95" s="313">
        <v>339526.88</v>
      </c>
      <c r="AG95" s="313">
        <v>379904.75338532042</v>
      </c>
      <c r="AH95" s="313">
        <v>369191.43933985441</v>
      </c>
      <c r="AI95" s="266"/>
      <c r="AJ95" s="313">
        <v>324109.73145600001</v>
      </c>
      <c r="AK95" s="312">
        <v>323072.58031534083</v>
      </c>
      <c r="AL95" s="313">
        <v>332315.68</v>
      </c>
      <c r="AM95" s="313">
        <v>386057.26453951997</v>
      </c>
      <c r="AN95" s="313">
        <v>375170.44967950549</v>
      </c>
      <c r="AO95" s="283"/>
      <c r="AP95" s="313">
        <v>316953.94925613608</v>
      </c>
      <c r="AQ95" s="312">
        <v>315939.69661851646</v>
      </c>
      <c r="AR95" s="313">
        <v>347703.6</v>
      </c>
      <c r="AS95" s="313">
        <v>379905.02639130456</v>
      </c>
      <c r="AT95" s="313">
        <v>369191.7046470698</v>
      </c>
      <c r="AU95" s="267"/>
      <c r="AV95" s="313">
        <v>317153.81</v>
      </c>
      <c r="AW95" s="312">
        <v>316138.917808</v>
      </c>
      <c r="AX95" s="313">
        <v>340950.48</v>
      </c>
      <c r="AY95" s="313">
        <v>380575.68181474798</v>
      </c>
      <c r="AZ95" s="313">
        <v>369843.4475875721</v>
      </c>
      <c r="BA95" s="283"/>
      <c r="BB95" s="313">
        <v>321212.28000000003</v>
      </c>
      <c r="BC95" s="312">
        <v>320184.40000000002</v>
      </c>
      <c r="BD95" s="313">
        <v>335244.40000000002</v>
      </c>
      <c r="BE95" s="313">
        <v>378783.1764</v>
      </c>
      <c r="BF95" s="313">
        <v>368101.49082552001</v>
      </c>
    </row>
    <row r="96" spans="1:58" ht="30.75" thickBot="1" x14ac:dyDescent="0.3">
      <c r="A96" s="372"/>
      <c r="B96" s="99" t="s">
        <v>298</v>
      </c>
      <c r="C96" s="99" t="s">
        <v>298</v>
      </c>
      <c r="D96" s="333"/>
      <c r="E96" s="335"/>
      <c r="F96" s="313"/>
      <c r="G96" s="312"/>
      <c r="H96" s="313"/>
      <c r="I96" s="322"/>
      <c r="J96" s="313"/>
      <c r="K96" s="292"/>
      <c r="L96" s="313"/>
      <c r="M96" s="312"/>
      <c r="N96" s="313"/>
      <c r="O96" s="322"/>
      <c r="P96" s="313"/>
      <c r="Q96" s="284"/>
      <c r="R96" s="322"/>
      <c r="S96" s="312"/>
      <c r="T96" s="313"/>
      <c r="U96" s="319"/>
      <c r="V96" s="313"/>
      <c r="W96" s="292"/>
      <c r="X96" s="313"/>
      <c r="Y96" s="312"/>
      <c r="Z96" s="313"/>
      <c r="AA96" s="313"/>
      <c r="AB96" s="313"/>
      <c r="AC96" s="284"/>
      <c r="AD96" s="313"/>
      <c r="AE96" s="312"/>
      <c r="AF96" s="313"/>
      <c r="AG96" s="313"/>
      <c r="AH96" s="313"/>
      <c r="AI96" s="281"/>
      <c r="AJ96" s="313"/>
      <c r="AK96" s="312"/>
      <c r="AL96" s="313"/>
      <c r="AM96" s="313"/>
      <c r="AN96" s="313"/>
      <c r="AO96" s="284"/>
      <c r="AP96" s="313"/>
      <c r="AQ96" s="312"/>
      <c r="AR96" s="313"/>
      <c r="AS96" s="313"/>
      <c r="AT96" s="313"/>
      <c r="AU96" s="305"/>
      <c r="AV96" s="313"/>
      <c r="AW96" s="312"/>
      <c r="AX96" s="313"/>
      <c r="AY96" s="313"/>
      <c r="AZ96" s="313"/>
      <c r="BA96" s="284"/>
      <c r="BB96" s="313"/>
      <c r="BC96" s="312"/>
      <c r="BD96" s="318"/>
      <c r="BE96" s="313"/>
      <c r="BF96" s="313"/>
    </row>
    <row r="97" spans="1:58" ht="15.75" customHeight="1" x14ac:dyDescent="0.25">
      <c r="A97" s="265"/>
      <c r="B97" s="413"/>
      <c r="C97" s="413"/>
      <c r="D97" s="413"/>
      <c r="E97" s="413"/>
      <c r="F97" s="413"/>
      <c r="G97" s="413"/>
      <c r="H97" s="413"/>
      <c r="I97" s="413"/>
      <c r="J97" s="413"/>
      <c r="K97" s="413"/>
      <c r="L97" s="413"/>
      <c r="M97" s="413"/>
      <c r="N97" s="413"/>
      <c r="O97" s="413"/>
      <c r="P97" s="413"/>
      <c r="Q97" s="413"/>
      <c r="R97" s="413"/>
      <c r="S97" s="413"/>
      <c r="T97" s="413"/>
      <c r="U97" s="413"/>
      <c r="V97" s="413"/>
      <c r="W97" s="413"/>
      <c r="X97" s="413"/>
      <c r="Y97" s="413"/>
      <c r="Z97" s="413"/>
      <c r="AA97" s="413"/>
      <c r="AB97" s="413"/>
      <c r="AC97" s="413"/>
      <c r="AD97" s="413"/>
      <c r="AE97" s="413"/>
      <c r="AF97" s="413"/>
      <c r="AG97" s="413"/>
      <c r="AH97" s="413"/>
      <c r="AI97" s="413"/>
      <c r="AJ97" s="413"/>
      <c r="AK97" s="413"/>
      <c r="AL97" s="413"/>
      <c r="AM97" s="413"/>
      <c r="AN97" s="413"/>
      <c r="AO97" s="413"/>
      <c r="AP97" s="413"/>
      <c r="AQ97" s="413"/>
      <c r="AR97" s="413"/>
      <c r="AS97" s="413"/>
      <c r="AT97" s="413"/>
      <c r="AU97" s="413"/>
      <c r="AV97" s="413"/>
      <c r="AW97" s="413"/>
      <c r="AX97" s="413"/>
      <c r="AY97" s="413"/>
      <c r="AZ97" s="413"/>
      <c r="BA97" s="413"/>
      <c r="BB97" s="413"/>
      <c r="BC97" s="413"/>
      <c r="BD97" s="413"/>
      <c r="BE97" s="274"/>
      <c r="BF97" s="274"/>
    </row>
    <row r="98" spans="1:58" ht="16.5" customHeight="1" thickBot="1" x14ac:dyDescent="0.3">
      <c r="A98" s="414"/>
      <c r="B98" s="281"/>
      <c r="C98" s="281"/>
      <c r="D98" s="281"/>
      <c r="E98" s="281"/>
      <c r="F98" s="281"/>
      <c r="G98" s="281"/>
      <c r="H98" s="281"/>
      <c r="I98" s="281"/>
      <c r="J98" s="281"/>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81"/>
      <c r="AH98" s="281"/>
      <c r="AI98" s="281"/>
      <c r="AJ98" s="281"/>
      <c r="AK98" s="281"/>
      <c r="AL98" s="281"/>
      <c r="AM98" s="281"/>
      <c r="AN98" s="281"/>
      <c r="AO98" s="281"/>
      <c r="AP98" s="281"/>
      <c r="AQ98" s="281"/>
      <c r="AR98" s="281"/>
      <c r="AS98" s="281"/>
      <c r="AT98" s="281"/>
      <c r="AU98" s="281"/>
      <c r="AV98" s="281"/>
      <c r="AW98" s="281"/>
      <c r="AX98" s="281"/>
      <c r="AY98" s="281"/>
      <c r="AZ98" s="281"/>
      <c r="BA98" s="281"/>
      <c r="BB98" s="281"/>
      <c r="BC98" s="281"/>
      <c r="BD98" s="281"/>
      <c r="BE98" s="276"/>
      <c r="BF98" s="276"/>
    </row>
    <row r="99" spans="1:58" ht="15.75" thickBot="1" x14ac:dyDescent="0.3">
      <c r="A99" s="334" t="s">
        <v>291</v>
      </c>
      <c r="B99" s="115" t="s">
        <v>307</v>
      </c>
      <c r="C99" s="116" t="s">
        <v>43</v>
      </c>
      <c r="D99" s="332" t="s">
        <v>132</v>
      </c>
      <c r="E99" s="334" t="s">
        <v>302</v>
      </c>
      <c r="F99" s="313">
        <v>202729.86</v>
      </c>
      <c r="G99" s="313">
        <v>201858.12</v>
      </c>
      <c r="H99" s="313">
        <v>193336.65</v>
      </c>
      <c r="I99" s="322">
        <v>187860.87000000002</v>
      </c>
      <c r="J99" s="312">
        <v>169093.56908700001</v>
      </c>
      <c r="K99" s="412"/>
      <c r="L99" s="313">
        <v>202729.41</v>
      </c>
      <c r="M99" s="312">
        <v>201857.67</v>
      </c>
      <c r="N99" s="313">
        <v>208102.05</v>
      </c>
      <c r="O99" s="322">
        <v>187860.87000000002</v>
      </c>
      <c r="P99" s="402">
        <v>169093.56908700001</v>
      </c>
      <c r="Q99" s="277"/>
      <c r="R99" s="322">
        <v>203417.37960031055</v>
      </c>
      <c r="S99" s="313">
        <v>202542.68486802923</v>
      </c>
      <c r="T99" s="313">
        <v>193725</v>
      </c>
      <c r="U99" s="313">
        <v>202803.8322007845</v>
      </c>
      <c r="V99" s="312">
        <v>182543.72936392613</v>
      </c>
      <c r="W99" s="277"/>
      <c r="X99" s="313">
        <v>202744.36</v>
      </c>
      <c r="Y99" s="313">
        <v>201872.56</v>
      </c>
      <c r="Z99" s="313">
        <v>196456.5</v>
      </c>
      <c r="AA99" s="313">
        <v>187866</v>
      </c>
      <c r="AB99" s="402">
        <v>169098.18660000002</v>
      </c>
      <c r="AC99" s="277"/>
      <c r="AD99" s="313">
        <v>202820.63</v>
      </c>
      <c r="AE99" s="313">
        <v>201948.5</v>
      </c>
      <c r="AF99" s="313">
        <v>193835.47500000001</v>
      </c>
      <c r="AG99" s="313">
        <v>189831.43659586503</v>
      </c>
      <c r="AH99" s="402">
        <v>170867.27607993811</v>
      </c>
      <c r="AI99" s="277"/>
      <c r="AJ99" s="313">
        <v>207530.65</v>
      </c>
      <c r="AK99" s="313">
        <v>206638.27</v>
      </c>
      <c r="AL99" s="313">
        <v>192180.375</v>
      </c>
      <c r="AM99" s="313">
        <v>200628.11311200002</v>
      </c>
      <c r="AN99" s="402">
        <v>180585.36461211121</v>
      </c>
      <c r="AO99" s="277"/>
      <c r="AP99" s="313">
        <v>202820.78</v>
      </c>
      <c r="AQ99" s="313">
        <v>201948.66</v>
      </c>
      <c r="AR99" s="313">
        <v>192958.42500000002</v>
      </c>
      <c r="AS99" s="313">
        <v>189831.57301194748</v>
      </c>
      <c r="AT99" s="312">
        <v>170867.39886805392</v>
      </c>
      <c r="AU99" s="277"/>
      <c r="AV99" s="261">
        <v>202992.15</v>
      </c>
      <c r="AW99" s="313">
        <v>202119.28</v>
      </c>
      <c r="AX99" s="313">
        <v>192284.09999999998</v>
      </c>
      <c r="AY99" s="313">
        <v>190771.33312754999</v>
      </c>
      <c r="AZ99" s="402">
        <v>171713.27694810776</v>
      </c>
      <c r="BA99" s="277"/>
      <c r="BB99" s="313">
        <v>205521.99</v>
      </c>
      <c r="BC99" s="313">
        <v>204638.24</v>
      </c>
      <c r="BD99" s="313">
        <v>193468.72500000001</v>
      </c>
      <c r="BE99" s="313">
        <v>187860.87000000002</v>
      </c>
      <c r="BF99" s="312">
        <v>169093.56908700001</v>
      </c>
    </row>
    <row r="100" spans="1:58" ht="30.75" thickBot="1" x14ac:dyDescent="0.3">
      <c r="A100" s="372"/>
      <c r="B100" s="99" t="s">
        <v>295</v>
      </c>
      <c r="C100" s="99" t="s">
        <v>295</v>
      </c>
      <c r="D100" s="333"/>
      <c r="E100" s="335"/>
      <c r="F100" s="313"/>
      <c r="G100" s="313"/>
      <c r="H100" s="313"/>
      <c r="I100" s="322"/>
      <c r="J100" s="312"/>
      <c r="K100" s="412"/>
      <c r="L100" s="313"/>
      <c r="M100" s="312"/>
      <c r="N100" s="313"/>
      <c r="O100" s="322"/>
      <c r="P100" s="402"/>
      <c r="Q100" s="278"/>
      <c r="R100" s="322"/>
      <c r="S100" s="313"/>
      <c r="T100" s="313"/>
      <c r="U100" s="313"/>
      <c r="V100" s="312"/>
      <c r="W100" s="278"/>
      <c r="X100" s="313"/>
      <c r="Y100" s="313"/>
      <c r="Z100" s="313"/>
      <c r="AA100" s="313"/>
      <c r="AB100" s="402"/>
      <c r="AC100" s="278"/>
      <c r="AD100" s="313"/>
      <c r="AE100" s="313"/>
      <c r="AF100" s="313"/>
      <c r="AG100" s="313"/>
      <c r="AH100" s="402"/>
      <c r="AI100" s="278"/>
      <c r="AJ100" s="313"/>
      <c r="AK100" s="313"/>
      <c r="AL100" s="313"/>
      <c r="AM100" s="313"/>
      <c r="AN100" s="402"/>
      <c r="AO100" s="278"/>
      <c r="AP100" s="313"/>
      <c r="AQ100" s="313"/>
      <c r="AR100" s="313"/>
      <c r="AS100" s="313"/>
      <c r="AT100" s="312"/>
      <c r="AU100" s="278"/>
      <c r="AV100" s="261"/>
      <c r="AW100" s="313"/>
      <c r="AX100" s="313"/>
      <c r="AY100" s="313"/>
      <c r="AZ100" s="402"/>
      <c r="BA100" s="278"/>
      <c r="BB100" s="313"/>
      <c r="BC100" s="313"/>
      <c r="BD100" s="318"/>
      <c r="BE100" s="313"/>
      <c r="BF100" s="312"/>
    </row>
    <row r="101" spans="1:58" ht="15.75" thickBot="1" x14ac:dyDescent="0.3">
      <c r="A101" s="371" t="s">
        <v>296</v>
      </c>
      <c r="B101" s="97" t="s">
        <v>306</v>
      </c>
      <c r="C101" s="114" t="s">
        <v>45</v>
      </c>
      <c r="D101" s="411" t="s">
        <v>141</v>
      </c>
      <c r="E101" s="358" t="s">
        <v>302</v>
      </c>
      <c r="F101" s="313">
        <v>316848.44</v>
      </c>
      <c r="G101" s="312">
        <v>315834.52748400002</v>
      </c>
      <c r="H101" s="313">
        <v>340949.84</v>
      </c>
      <c r="I101" s="322">
        <v>378783.1764</v>
      </c>
      <c r="J101" s="313">
        <v>368101.49082552001</v>
      </c>
      <c r="K101" s="412"/>
      <c r="L101" s="313">
        <v>316847.72700000001</v>
      </c>
      <c r="M101" s="312">
        <v>315833.8142736</v>
      </c>
      <c r="N101" s="313">
        <v>336866.56</v>
      </c>
      <c r="O101" s="322">
        <v>378783.1764</v>
      </c>
      <c r="P101" s="259">
        <v>368101.49082552001</v>
      </c>
      <c r="Q101" s="278"/>
      <c r="R101" s="322">
        <v>317647.90692367492</v>
      </c>
      <c r="S101" s="312">
        <v>316631.43362151919</v>
      </c>
      <c r="T101" s="313">
        <v>340949.84</v>
      </c>
      <c r="U101" s="319">
        <v>387288.76938939007</v>
      </c>
      <c r="V101" s="313">
        <v>376367.22609260929</v>
      </c>
      <c r="W101" s="278"/>
      <c r="X101" s="313">
        <v>316871.10000000003</v>
      </c>
      <c r="Y101" s="312">
        <v>315857.11248000001</v>
      </c>
      <c r="Z101" s="313">
        <v>340950.4</v>
      </c>
      <c r="AA101" s="313">
        <v>378793.51999999996</v>
      </c>
      <c r="AB101" s="259">
        <v>368111.54273599997</v>
      </c>
      <c r="AC101" s="278"/>
      <c r="AD101" s="313">
        <v>316953.71067600005</v>
      </c>
      <c r="AE101" s="312">
        <v>315939.45880183682</v>
      </c>
      <c r="AF101" s="313">
        <v>339526.88</v>
      </c>
      <c r="AG101" s="313">
        <v>379904.75338532042</v>
      </c>
      <c r="AH101" s="259">
        <v>369191.43933985441</v>
      </c>
      <c r="AI101" s="278"/>
      <c r="AJ101" s="313">
        <v>324109.73145600001</v>
      </c>
      <c r="AK101" s="312">
        <v>323072.58031534083</v>
      </c>
      <c r="AL101" s="313">
        <v>332315.68</v>
      </c>
      <c r="AM101" s="313">
        <v>386057.26453951997</v>
      </c>
      <c r="AN101" s="259">
        <v>375170.44967950549</v>
      </c>
      <c r="AO101" s="278"/>
      <c r="AP101" s="313">
        <v>316953.94925613608</v>
      </c>
      <c r="AQ101" s="312">
        <v>315939.69661851646</v>
      </c>
      <c r="AR101" s="313">
        <v>347703.6</v>
      </c>
      <c r="AS101" s="313">
        <v>379905.02639130456</v>
      </c>
      <c r="AT101" s="313">
        <v>369191.7046470698</v>
      </c>
      <c r="AU101" s="278"/>
      <c r="AV101" s="261">
        <v>317153.81</v>
      </c>
      <c r="AW101" s="312">
        <v>316138.917808</v>
      </c>
      <c r="AX101" s="313">
        <v>340950.48</v>
      </c>
      <c r="AY101" s="313">
        <v>380575.68181474798</v>
      </c>
      <c r="AZ101" s="259">
        <v>369843.4475875721</v>
      </c>
      <c r="BA101" s="278"/>
      <c r="BB101" s="313">
        <v>321212.28000000003</v>
      </c>
      <c r="BC101" s="312">
        <v>320184.40000000002</v>
      </c>
      <c r="BD101" s="313">
        <v>335244.40000000002</v>
      </c>
      <c r="BE101" s="313">
        <v>378783.1764</v>
      </c>
      <c r="BF101" s="313">
        <v>368101.49082552001</v>
      </c>
    </row>
    <row r="102" spans="1:58" ht="30.75" thickBot="1" x14ac:dyDescent="0.3">
      <c r="A102" s="372"/>
      <c r="B102" s="99" t="s">
        <v>298</v>
      </c>
      <c r="C102" s="99" t="s">
        <v>298</v>
      </c>
      <c r="D102" s="333"/>
      <c r="E102" s="335"/>
      <c r="F102" s="313"/>
      <c r="G102" s="312"/>
      <c r="H102" s="313"/>
      <c r="I102" s="322"/>
      <c r="J102" s="313"/>
      <c r="K102" s="412"/>
      <c r="L102" s="313"/>
      <c r="M102" s="312"/>
      <c r="N102" s="313"/>
      <c r="O102" s="322"/>
      <c r="P102" s="259"/>
      <c r="Q102" s="278"/>
      <c r="R102" s="322"/>
      <c r="S102" s="312"/>
      <c r="T102" s="313"/>
      <c r="U102" s="319"/>
      <c r="V102" s="313"/>
      <c r="W102" s="278"/>
      <c r="X102" s="313"/>
      <c r="Y102" s="312"/>
      <c r="Z102" s="313"/>
      <c r="AA102" s="313"/>
      <c r="AB102" s="259"/>
      <c r="AC102" s="278"/>
      <c r="AD102" s="313"/>
      <c r="AE102" s="312"/>
      <c r="AF102" s="313"/>
      <c r="AG102" s="313"/>
      <c r="AH102" s="259"/>
      <c r="AI102" s="278"/>
      <c r="AJ102" s="313"/>
      <c r="AK102" s="312"/>
      <c r="AL102" s="313"/>
      <c r="AM102" s="313"/>
      <c r="AN102" s="259"/>
      <c r="AO102" s="278"/>
      <c r="AP102" s="313"/>
      <c r="AQ102" s="312"/>
      <c r="AR102" s="313"/>
      <c r="AS102" s="313"/>
      <c r="AT102" s="313"/>
      <c r="AU102" s="278"/>
      <c r="AV102" s="261"/>
      <c r="AW102" s="312"/>
      <c r="AX102" s="313"/>
      <c r="AY102" s="313"/>
      <c r="AZ102" s="259"/>
      <c r="BA102" s="278"/>
      <c r="BB102" s="313"/>
      <c r="BC102" s="312"/>
      <c r="BD102" s="318"/>
      <c r="BE102" s="313"/>
      <c r="BF102" s="313"/>
    </row>
    <row r="103" spans="1:58" ht="15.75" thickBot="1" x14ac:dyDescent="0.3">
      <c r="A103" s="403" t="s">
        <v>286</v>
      </c>
      <c r="B103" s="404"/>
      <c r="C103" s="404"/>
      <c r="D103" s="404"/>
      <c r="E103" s="405"/>
      <c r="F103" s="100"/>
      <c r="G103" s="100"/>
      <c r="H103" s="100"/>
      <c r="I103" s="102"/>
      <c r="J103" s="155"/>
      <c r="K103" s="412"/>
      <c r="L103" s="148"/>
      <c r="M103" s="102"/>
      <c r="N103" s="102"/>
      <c r="O103" s="102"/>
      <c r="P103" s="102"/>
      <c r="Q103" s="278"/>
      <c r="R103" s="259"/>
      <c r="S103" s="260"/>
      <c r="T103" s="260"/>
      <c r="U103" s="260"/>
      <c r="V103" s="261"/>
      <c r="W103" s="278"/>
      <c r="X103" s="168"/>
      <c r="Y103" s="163"/>
      <c r="Z103" s="163"/>
      <c r="AA103" s="163"/>
      <c r="AB103" s="163"/>
      <c r="AC103" s="278"/>
      <c r="AD103" s="259"/>
      <c r="AE103" s="260"/>
      <c r="AF103" s="260"/>
      <c r="AG103" s="260"/>
      <c r="AH103" s="261"/>
      <c r="AI103" s="278"/>
      <c r="AJ103" s="100"/>
      <c r="AK103" s="100"/>
      <c r="AL103" s="100"/>
      <c r="AM103" s="102"/>
      <c r="AN103" s="100"/>
      <c r="AO103" s="278"/>
      <c r="AP103" s="100"/>
      <c r="AQ103" s="100"/>
      <c r="AR103" s="100"/>
      <c r="AS103" s="108"/>
      <c r="AT103" s="108"/>
      <c r="AU103" s="278"/>
      <c r="AV103" s="100"/>
      <c r="AW103" s="100"/>
      <c r="AX103" s="100"/>
      <c r="AY103" s="100"/>
      <c r="AZ103" s="100"/>
      <c r="BA103" s="278"/>
      <c r="BB103" s="148"/>
      <c r="BC103" s="102"/>
      <c r="BD103" s="162"/>
      <c r="BE103" s="102"/>
      <c r="BF103" s="154"/>
    </row>
    <row r="104" spans="1:58" ht="15" customHeight="1" thickBot="1" x14ac:dyDescent="0.3">
      <c r="A104" s="371" t="s">
        <v>308</v>
      </c>
      <c r="B104" s="97" t="s">
        <v>287</v>
      </c>
      <c r="C104" s="114" t="s">
        <v>42</v>
      </c>
      <c r="D104" s="371" t="s">
        <v>152</v>
      </c>
      <c r="E104" s="358" t="s">
        <v>309</v>
      </c>
      <c r="F104" s="313">
        <v>102693.44</v>
      </c>
      <c r="G104" s="313">
        <v>98832.16</v>
      </c>
      <c r="H104" s="313">
        <v>85839</v>
      </c>
      <c r="I104" s="313">
        <v>134285.73300000001</v>
      </c>
      <c r="J104" s="313">
        <v>114263.73020970001</v>
      </c>
      <c r="K104" s="412"/>
      <c r="L104" s="313">
        <v>102693.2</v>
      </c>
      <c r="M104" s="313">
        <v>98831.94</v>
      </c>
      <c r="N104" s="319" t="s">
        <v>310</v>
      </c>
      <c r="O104" s="313">
        <v>134285.73300000001</v>
      </c>
      <c r="P104" s="259">
        <v>114263.73020970001</v>
      </c>
      <c r="Q104" s="278"/>
      <c r="R104" s="322">
        <v>105740.51453784405</v>
      </c>
      <c r="S104" s="313">
        <v>101764.67119122112</v>
      </c>
      <c r="T104" s="319" t="s">
        <v>310</v>
      </c>
      <c r="U104" s="319">
        <v>150227.57548917193</v>
      </c>
      <c r="V104" s="313">
        <v>127828.6439837364</v>
      </c>
      <c r="W104" s="289"/>
      <c r="X104" s="313">
        <v>102700.78</v>
      </c>
      <c r="Y104" s="313">
        <v>98839.23</v>
      </c>
      <c r="Z104" s="313">
        <v>85500</v>
      </c>
      <c r="AA104" s="313">
        <v>134289.4</v>
      </c>
      <c r="AB104" s="259">
        <v>114266.85045999999</v>
      </c>
      <c r="AC104" s="278"/>
      <c r="AD104" s="313">
        <v>103098.48</v>
      </c>
      <c r="AE104" s="313">
        <v>99221.98</v>
      </c>
      <c r="AF104" s="319" t="s">
        <v>310</v>
      </c>
      <c r="AG104" s="322">
        <v>136388.04329298151</v>
      </c>
      <c r="AH104" s="313">
        <v>116052.58603799797</v>
      </c>
      <c r="AI104" s="278"/>
      <c r="AJ104" s="319">
        <v>107498.81</v>
      </c>
      <c r="AK104" s="319">
        <v>103456.85</v>
      </c>
      <c r="AL104" s="319" t="s">
        <v>310</v>
      </c>
      <c r="AM104" s="322">
        <v>147904.7336872</v>
      </c>
      <c r="AN104" s="313">
        <v>125852.13789443848</v>
      </c>
      <c r="AO104" s="278"/>
      <c r="AP104" s="319">
        <v>103098.56</v>
      </c>
      <c r="AQ104" s="319">
        <v>99222.05</v>
      </c>
      <c r="AR104" s="319" t="s">
        <v>310</v>
      </c>
      <c r="AS104" s="313">
        <v>136388.14130373724</v>
      </c>
      <c r="AT104" s="313">
        <v>116052.66943535002</v>
      </c>
      <c r="AU104" s="278"/>
      <c r="AV104" s="261">
        <v>103852.21</v>
      </c>
      <c r="AW104" s="313">
        <v>99947.37</v>
      </c>
      <c r="AX104" s="319" t="s">
        <v>310</v>
      </c>
      <c r="AY104" s="313">
        <v>137357.69954140499</v>
      </c>
      <c r="AZ104" s="259">
        <v>116877.66653978151</v>
      </c>
      <c r="BA104" s="278"/>
      <c r="BB104" s="313">
        <v>104107.79</v>
      </c>
      <c r="BC104" s="313">
        <v>100193.34</v>
      </c>
      <c r="BD104" s="313">
        <v>95154.6</v>
      </c>
      <c r="BE104" s="313">
        <v>134285.73300000001</v>
      </c>
      <c r="BF104" s="313">
        <v>114263.73020970001</v>
      </c>
    </row>
    <row r="105" spans="1:58" ht="15.75" thickBot="1" x14ac:dyDescent="0.3">
      <c r="A105" s="372"/>
      <c r="B105" s="99" t="s">
        <v>311</v>
      </c>
      <c r="C105" s="99" t="s">
        <v>311</v>
      </c>
      <c r="D105" s="372"/>
      <c r="E105" s="335"/>
      <c r="F105" s="313"/>
      <c r="G105" s="313"/>
      <c r="H105" s="313"/>
      <c r="I105" s="313"/>
      <c r="J105" s="313"/>
      <c r="K105" s="412"/>
      <c r="L105" s="313"/>
      <c r="M105" s="313"/>
      <c r="N105" s="319"/>
      <c r="O105" s="313"/>
      <c r="P105" s="259"/>
      <c r="Q105" s="278"/>
      <c r="R105" s="322"/>
      <c r="S105" s="313"/>
      <c r="T105" s="319"/>
      <c r="U105" s="319"/>
      <c r="V105" s="313"/>
      <c r="W105" s="289"/>
      <c r="X105" s="313"/>
      <c r="Y105" s="313"/>
      <c r="Z105" s="313"/>
      <c r="AA105" s="313"/>
      <c r="AB105" s="259"/>
      <c r="AC105" s="278"/>
      <c r="AD105" s="313"/>
      <c r="AE105" s="313"/>
      <c r="AF105" s="319"/>
      <c r="AG105" s="322"/>
      <c r="AH105" s="313"/>
      <c r="AI105" s="278"/>
      <c r="AJ105" s="319"/>
      <c r="AK105" s="319"/>
      <c r="AL105" s="319"/>
      <c r="AM105" s="322"/>
      <c r="AN105" s="313"/>
      <c r="AO105" s="278"/>
      <c r="AP105" s="319"/>
      <c r="AQ105" s="319"/>
      <c r="AR105" s="319"/>
      <c r="AS105" s="313"/>
      <c r="AT105" s="313"/>
      <c r="AU105" s="278"/>
      <c r="AV105" s="261"/>
      <c r="AW105" s="313"/>
      <c r="AX105" s="319"/>
      <c r="AY105" s="313"/>
      <c r="AZ105" s="259"/>
      <c r="BA105" s="278"/>
      <c r="BB105" s="313"/>
      <c r="BC105" s="313"/>
      <c r="BD105" s="318"/>
      <c r="BE105" s="313"/>
      <c r="BF105" s="313"/>
    </row>
    <row r="106" spans="1:58" ht="15.75" customHeight="1" thickBot="1" x14ac:dyDescent="0.3">
      <c r="A106" s="371" t="s">
        <v>312</v>
      </c>
      <c r="B106" s="97" t="s">
        <v>287</v>
      </c>
      <c r="C106" s="114" t="s">
        <v>42</v>
      </c>
      <c r="D106" s="371" t="s">
        <v>155</v>
      </c>
      <c r="E106" s="358" t="s">
        <v>309</v>
      </c>
      <c r="F106" s="313">
        <v>102693.44</v>
      </c>
      <c r="G106" s="312">
        <v>98832.16</v>
      </c>
      <c r="H106" s="313">
        <v>112734.90000000001</v>
      </c>
      <c r="I106" s="313">
        <v>134285.73300000001</v>
      </c>
      <c r="J106" s="313">
        <v>114263.73020970001</v>
      </c>
      <c r="K106" s="412"/>
      <c r="L106" s="313">
        <v>102693.2</v>
      </c>
      <c r="M106" s="312">
        <v>98831.94</v>
      </c>
      <c r="N106" s="313">
        <v>99168.94</v>
      </c>
      <c r="O106" s="313">
        <v>134285.73300000001</v>
      </c>
      <c r="P106" s="259">
        <v>114263.73020970001</v>
      </c>
      <c r="Q106" s="278"/>
      <c r="R106" s="322">
        <v>105740.51453784405</v>
      </c>
      <c r="S106" s="312">
        <v>101764.67119122112</v>
      </c>
      <c r="T106" s="313">
        <v>105399.43999999999</v>
      </c>
      <c r="U106" s="319">
        <v>150227.57548917193</v>
      </c>
      <c r="V106" s="313">
        <v>127828.6439837364</v>
      </c>
      <c r="W106" s="289"/>
      <c r="X106" s="313">
        <v>102700.78</v>
      </c>
      <c r="Y106" s="312">
        <v>98839.23</v>
      </c>
      <c r="Z106" s="313">
        <v>111564.1</v>
      </c>
      <c r="AA106" s="313">
        <v>134289.4</v>
      </c>
      <c r="AB106" s="259">
        <v>114266.85045999999</v>
      </c>
      <c r="AC106" s="278"/>
      <c r="AD106" s="313">
        <v>103098.48</v>
      </c>
      <c r="AE106" s="312">
        <v>99221.98</v>
      </c>
      <c r="AF106" s="313">
        <v>105574.94</v>
      </c>
      <c r="AG106" s="322">
        <v>136388.04329298151</v>
      </c>
      <c r="AH106" s="313">
        <v>116052.58603799797</v>
      </c>
      <c r="AI106" s="278"/>
      <c r="AJ106" s="319">
        <v>107498.81</v>
      </c>
      <c r="AK106" s="321">
        <v>103456.85</v>
      </c>
      <c r="AL106" s="313">
        <v>111452.56</v>
      </c>
      <c r="AM106" s="322">
        <v>147904.7336872</v>
      </c>
      <c r="AN106" s="313">
        <v>125852.13789443848</v>
      </c>
      <c r="AO106" s="278"/>
      <c r="AP106" s="319">
        <v>103098.56</v>
      </c>
      <c r="AQ106" s="321">
        <v>99222.05</v>
      </c>
      <c r="AR106" s="313">
        <v>101581.04</v>
      </c>
      <c r="AS106" s="313">
        <v>136388.14130373724</v>
      </c>
      <c r="AT106" s="313">
        <v>116052.66943535002</v>
      </c>
      <c r="AU106" s="278"/>
      <c r="AV106" s="261">
        <v>103852.21</v>
      </c>
      <c r="AW106" s="313">
        <v>99947.37</v>
      </c>
      <c r="AX106" s="313">
        <v>96170.64</v>
      </c>
      <c r="AY106" s="313">
        <v>137357.69954140499</v>
      </c>
      <c r="AZ106" s="259">
        <v>116877.66653978151</v>
      </c>
      <c r="BA106" s="278"/>
      <c r="BB106" s="313">
        <v>104107.79</v>
      </c>
      <c r="BC106" s="312">
        <v>100193.34</v>
      </c>
      <c r="BD106" s="313">
        <v>121685.56</v>
      </c>
      <c r="BE106" s="313">
        <v>134285.73300000001</v>
      </c>
      <c r="BF106" s="312">
        <v>114263.73020970001</v>
      </c>
    </row>
    <row r="107" spans="1:58" ht="60.75" thickBot="1" x14ac:dyDescent="0.3">
      <c r="A107" s="372"/>
      <c r="B107" s="99" t="s">
        <v>313</v>
      </c>
      <c r="C107" s="99" t="s">
        <v>313</v>
      </c>
      <c r="D107" s="372"/>
      <c r="E107" s="335"/>
      <c r="F107" s="313"/>
      <c r="G107" s="312"/>
      <c r="H107" s="313"/>
      <c r="I107" s="313"/>
      <c r="J107" s="313"/>
      <c r="K107" s="412"/>
      <c r="L107" s="313"/>
      <c r="M107" s="312"/>
      <c r="N107" s="313"/>
      <c r="O107" s="313"/>
      <c r="P107" s="259"/>
      <c r="Q107" s="278"/>
      <c r="R107" s="322"/>
      <c r="S107" s="312"/>
      <c r="T107" s="313"/>
      <c r="U107" s="319"/>
      <c r="V107" s="313"/>
      <c r="W107" s="289"/>
      <c r="X107" s="313"/>
      <c r="Y107" s="312"/>
      <c r="Z107" s="313"/>
      <c r="AA107" s="313"/>
      <c r="AB107" s="259"/>
      <c r="AC107" s="278"/>
      <c r="AD107" s="313"/>
      <c r="AE107" s="312"/>
      <c r="AF107" s="313"/>
      <c r="AG107" s="322"/>
      <c r="AH107" s="313"/>
      <c r="AI107" s="278"/>
      <c r="AJ107" s="319"/>
      <c r="AK107" s="321"/>
      <c r="AL107" s="313"/>
      <c r="AM107" s="322"/>
      <c r="AN107" s="313"/>
      <c r="AO107" s="278"/>
      <c r="AP107" s="319"/>
      <c r="AQ107" s="321"/>
      <c r="AR107" s="313"/>
      <c r="AS107" s="313"/>
      <c r="AT107" s="313"/>
      <c r="AU107" s="278"/>
      <c r="AV107" s="261"/>
      <c r="AW107" s="313"/>
      <c r="AX107" s="313"/>
      <c r="AY107" s="313"/>
      <c r="AZ107" s="259"/>
      <c r="BA107" s="278"/>
      <c r="BB107" s="313"/>
      <c r="BC107" s="312"/>
      <c r="BD107" s="318"/>
      <c r="BE107" s="313"/>
      <c r="BF107" s="312"/>
    </row>
    <row r="108" spans="1:58" ht="15.75" thickBot="1" x14ac:dyDescent="0.3">
      <c r="A108" s="371" t="s">
        <v>312</v>
      </c>
      <c r="B108" s="97" t="s">
        <v>287</v>
      </c>
      <c r="C108" s="114" t="s">
        <v>42</v>
      </c>
      <c r="D108" s="371" t="s">
        <v>155</v>
      </c>
      <c r="E108" s="358" t="s">
        <v>309</v>
      </c>
      <c r="F108" s="313">
        <v>102693.44</v>
      </c>
      <c r="G108" s="312">
        <v>98832.16</v>
      </c>
      <c r="H108" s="313">
        <v>145353.40000000002</v>
      </c>
      <c r="I108" s="313">
        <v>134285.73300000001</v>
      </c>
      <c r="J108" s="312">
        <v>114263.73020970001</v>
      </c>
      <c r="K108" s="412"/>
      <c r="L108" s="313">
        <v>102693.2</v>
      </c>
      <c r="M108" s="312">
        <v>98831.94</v>
      </c>
      <c r="N108" s="313">
        <v>125504.84</v>
      </c>
      <c r="O108" s="313">
        <v>134285.73300000001</v>
      </c>
      <c r="P108" s="402">
        <v>114263.73020970001</v>
      </c>
      <c r="Q108" s="278"/>
      <c r="R108" s="322">
        <v>105740.51453784405</v>
      </c>
      <c r="S108" s="312">
        <v>101764.67119122112</v>
      </c>
      <c r="T108" s="313">
        <v>137965.84</v>
      </c>
      <c r="U108" s="319">
        <v>150227.57548917193</v>
      </c>
      <c r="V108" s="312">
        <v>127828.6439837364</v>
      </c>
      <c r="W108" s="289"/>
      <c r="X108" s="313">
        <v>102700.78</v>
      </c>
      <c r="Y108" s="312">
        <v>98839.23</v>
      </c>
      <c r="Z108" s="313">
        <v>143328.20000000001</v>
      </c>
      <c r="AA108" s="313">
        <v>134289.4</v>
      </c>
      <c r="AB108" s="402">
        <v>114266.85045999999</v>
      </c>
      <c r="AC108" s="278"/>
      <c r="AD108" s="313">
        <v>103098.48</v>
      </c>
      <c r="AE108" s="312">
        <v>99221.98</v>
      </c>
      <c r="AF108" s="313">
        <v>138316.84</v>
      </c>
      <c r="AG108" s="322">
        <v>136388.04329298151</v>
      </c>
      <c r="AH108" s="312">
        <v>116052.58603799797</v>
      </c>
      <c r="AI108" s="278"/>
      <c r="AJ108" s="319">
        <v>107498.81</v>
      </c>
      <c r="AK108" s="321">
        <v>103456.85</v>
      </c>
      <c r="AL108" s="313">
        <v>141813.76000000001</v>
      </c>
      <c r="AM108" s="322">
        <v>147904.7336872</v>
      </c>
      <c r="AN108" s="312">
        <v>125852.13789443848</v>
      </c>
      <c r="AO108" s="278"/>
      <c r="AP108" s="319">
        <v>103098.56</v>
      </c>
      <c r="AQ108" s="321">
        <v>99222.05</v>
      </c>
      <c r="AR108" s="313">
        <v>130329.04</v>
      </c>
      <c r="AS108" s="313">
        <v>136388.14130373724</v>
      </c>
      <c r="AT108" s="312">
        <v>116052.66943535002</v>
      </c>
      <c r="AU108" s="278"/>
      <c r="AV108" s="261">
        <v>103852.21</v>
      </c>
      <c r="AW108" s="312">
        <v>99947.37</v>
      </c>
      <c r="AX108" s="313">
        <v>119508.23999999999</v>
      </c>
      <c r="AY108" s="313">
        <v>137357.69954140499</v>
      </c>
      <c r="AZ108" s="402">
        <v>116877.66653978151</v>
      </c>
      <c r="BA108" s="278"/>
      <c r="BB108" s="313">
        <v>104107.79</v>
      </c>
      <c r="BC108" s="312">
        <v>100193.34</v>
      </c>
      <c r="BD108" s="313">
        <v>154560.16</v>
      </c>
      <c r="BE108" s="313">
        <v>134285.73300000001</v>
      </c>
      <c r="BF108" s="312">
        <v>114263.73020970001</v>
      </c>
    </row>
    <row r="109" spans="1:58" ht="75.75" thickBot="1" x14ac:dyDescent="0.3">
      <c r="A109" s="372"/>
      <c r="B109" s="99" t="s">
        <v>314</v>
      </c>
      <c r="C109" s="99" t="s">
        <v>314</v>
      </c>
      <c r="D109" s="372"/>
      <c r="E109" s="335"/>
      <c r="F109" s="313"/>
      <c r="G109" s="312"/>
      <c r="H109" s="313"/>
      <c r="I109" s="313"/>
      <c r="J109" s="312"/>
      <c r="K109" s="412"/>
      <c r="L109" s="313"/>
      <c r="M109" s="312"/>
      <c r="N109" s="313"/>
      <c r="O109" s="313"/>
      <c r="P109" s="402"/>
      <c r="Q109" s="278"/>
      <c r="R109" s="322"/>
      <c r="S109" s="312"/>
      <c r="T109" s="313"/>
      <c r="U109" s="319"/>
      <c r="V109" s="312"/>
      <c r="W109" s="289"/>
      <c r="X109" s="313"/>
      <c r="Y109" s="312"/>
      <c r="Z109" s="313"/>
      <c r="AA109" s="313"/>
      <c r="AB109" s="402"/>
      <c r="AC109" s="278"/>
      <c r="AD109" s="313"/>
      <c r="AE109" s="312"/>
      <c r="AF109" s="313"/>
      <c r="AG109" s="322"/>
      <c r="AH109" s="312"/>
      <c r="AI109" s="278"/>
      <c r="AJ109" s="319"/>
      <c r="AK109" s="321"/>
      <c r="AL109" s="313"/>
      <c r="AM109" s="322"/>
      <c r="AN109" s="312"/>
      <c r="AO109" s="278"/>
      <c r="AP109" s="319"/>
      <c r="AQ109" s="321"/>
      <c r="AR109" s="313"/>
      <c r="AS109" s="313"/>
      <c r="AT109" s="312"/>
      <c r="AU109" s="278"/>
      <c r="AV109" s="261"/>
      <c r="AW109" s="312"/>
      <c r="AX109" s="313"/>
      <c r="AY109" s="313"/>
      <c r="AZ109" s="402"/>
      <c r="BA109" s="278"/>
      <c r="BB109" s="313"/>
      <c r="BC109" s="312"/>
      <c r="BD109" s="318"/>
      <c r="BE109" s="313"/>
      <c r="BF109" s="312"/>
    </row>
    <row r="110" spans="1:58" ht="15.75" thickBot="1" x14ac:dyDescent="0.3">
      <c r="A110" s="371" t="s">
        <v>315</v>
      </c>
      <c r="B110" s="97" t="s">
        <v>316</v>
      </c>
      <c r="C110" s="114" t="s">
        <v>42</v>
      </c>
      <c r="D110" s="371" t="s">
        <v>159</v>
      </c>
      <c r="E110" s="358" t="s">
        <v>309</v>
      </c>
      <c r="F110" s="313">
        <v>149456.81</v>
      </c>
      <c r="G110" s="313">
        <v>139323.64000000001</v>
      </c>
      <c r="H110" s="313">
        <v>107067.49</v>
      </c>
      <c r="I110" s="313">
        <v>134285.73300000001</v>
      </c>
      <c r="J110" s="313">
        <v>114263.73020970001</v>
      </c>
      <c r="K110" s="412"/>
      <c r="L110" s="313">
        <v>149456.48000000001</v>
      </c>
      <c r="M110" s="313">
        <v>139323.32999999999</v>
      </c>
      <c r="N110" s="313">
        <v>103316.86000000002</v>
      </c>
      <c r="O110" s="313">
        <v>134285.73300000001</v>
      </c>
      <c r="P110" s="259">
        <v>114263.73020970001</v>
      </c>
      <c r="Q110" s="278"/>
      <c r="R110" s="322">
        <v>157453.55619474602</v>
      </c>
      <c r="S110" s="313">
        <v>146778.20508474225</v>
      </c>
      <c r="T110" s="313">
        <v>111620.06</v>
      </c>
      <c r="U110" s="313">
        <v>150227.57548917193</v>
      </c>
      <c r="V110" s="313">
        <v>127828.6439837364</v>
      </c>
      <c r="W110" s="289"/>
      <c r="X110" s="313">
        <v>149467.5</v>
      </c>
      <c r="Y110" s="313">
        <v>139333.6</v>
      </c>
      <c r="Z110" s="313">
        <v>106684.32999999999</v>
      </c>
      <c r="AA110" s="313">
        <v>134289.4</v>
      </c>
      <c r="AB110" s="259">
        <v>114266.85045999999</v>
      </c>
      <c r="AC110" s="278"/>
      <c r="AD110" s="313">
        <v>150520.23000000001</v>
      </c>
      <c r="AE110" s="313">
        <v>140314.96</v>
      </c>
      <c r="AF110" s="313">
        <v>107028.14000000001</v>
      </c>
      <c r="AG110" s="322">
        <v>136388.04329298151</v>
      </c>
      <c r="AH110" s="313">
        <v>116052.58603799797</v>
      </c>
      <c r="AI110" s="278"/>
      <c r="AJ110" s="313">
        <v>159583.17000000001</v>
      </c>
      <c r="AK110" s="313">
        <v>148763.43</v>
      </c>
      <c r="AL110" s="313">
        <v>104833.92</v>
      </c>
      <c r="AM110" s="322">
        <v>147904.7336872</v>
      </c>
      <c r="AN110" s="313">
        <v>125852.13789443848</v>
      </c>
      <c r="AO110" s="278"/>
      <c r="AP110" s="313">
        <v>150520.34</v>
      </c>
      <c r="AQ110" s="313">
        <v>140315.06</v>
      </c>
      <c r="AR110" s="313">
        <v>102047.66</v>
      </c>
      <c r="AS110" s="313">
        <v>136388.14130373724</v>
      </c>
      <c r="AT110" s="313">
        <v>116052.66943535002</v>
      </c>
      <c r="AU110" s="278"/>
      <c r="AV110" s="261">
        <v>152497.34</v>
      </c>
      <c r="AW110" s="313">
        <v>142158.01999999999</v>
      </c>
      <c r="AX110" s="313">
        <v>96744.36</v>
      </c>
      <c r="AY110" s="313">
        <v>137357.69954140499</v>
      </c>
      <c r="AZ110" s="259">
        <v>116877.66653978151</v>
      </c>
      <c r="BA110" s="278"/>
      <c r="BB110" s="313">
        <v>151515.23000000001</v>
      </c>
      <c r="BC110" s="313">
        <v>141242.49</v>
      </c>
      <c r="BD110" s="313">
        <v>106137.51</v>
      </c>
      <c r="BE110" s="313">
        <v>134285.73300000001</v>
      </c>
      <c r="BF110" s="313">
        <v>114263.73020970001</v>
      </c>
    </row>
    <row r="111" spans="1:58" ht="60.75" thickBot="1" x14ac:dyDescent="0.3">
      <c r="A111" s="372"/>
      <c r="B111" s="99" t="s">
        <v>317</v>
      </c>
      <c r="C111" s="99" t="s">
        <v>317</v>
      </c>
      <c r="D111" s="372"/>
      <c r="E111" s="335"/>
      <c r="F111" s="313"/>
      <c r="G111" s="313"/>
      <c r="H111" s="313"/>
      <c r="I111" s="313"/>
      <c r="J111" s="313"/>
      <c r="K111" s="412"/>
      <c r="L111" s="313"/>
      <c r="M111" s="313"/>
      <c r="N111" s="313"/>
      <c r="O111" s="313"/>
      <c r="P111" s="259"/>
      <c r="Q111" s="278"/>
      <c r="R111" s="322"/>
      <c r="S111" s="313"/>
      <c r="T111" s="313"/>
      <c r="U111" s="313"/>
      <c r="V111" s="313"/>
      <c r="W111" s="289"/>
      <c r="X111" s="313"/>
      <c r="Y111" s="313"/>
      <c r="Z111" s="313"/>
      <c r="AA111" s="313"/>
      <c r="AB111" s="259"/>
      <c r="AC111" s="278"/>
      <c r="AD111" s="313"/>
      <c r="AE111" s="313"/>
      <c r="AF111" s="313"/>
      <c r="AG111" s="322"/>
      <c r="AH111" s="313"/>
      <c r="AI111" s="278"/>
      <c r="AJ111" s="313"/>
      <c r="AK111" s="313"/>
      <c r="AL111" s="313"/>
      <c r="AM111" s="322"/>
      <c r="AN111" s="313"/>
      <c r="AO111" s="278"/>
      <c r="AP111" s="313"/>
      <c r="AQ111" s="313"/>
      <c r="AR111" s="313"/>
      <c r="AS111" s="313"/>
      <c r="AT111" s="313"/>
      <c r="AU111" s="278"/>
      <c r="AV111" s="261"/>
      <c r="AW111" s="313"/>
      <c r="AX111" s="313"/>
      <c r="AY111" s="313"/>
      <c r="AZ111" s="259"/>
      <c r="BA111" s="278"/>
      <c r="BB111" s="313"/>
      <c r="BC111" s="313"/>
      <c r="BD111" s="318"/>
      <c r="BE111" s="313"/>
      <c r="BF111" s="313"/>
    </row>
    <row r="112" spans="1:58" ht="15.75" thickBot="1" x14ac:dyDescent="0.3">
      <c r="A112" s="371" t="s">
        <v>315</v>
      </c>
      <c r="B112" s="97" t="s">
        <v>316</v>
      </c>
      <c r="C112" s="114" t="s">
        <v>42</v>
      </c>
      <c r="D112" s="371" t="s">
        <v>159</v>
      </c>
      <c r="E112" s="358" t="s">
        <v>309</v>
      </c>
      <c r="F112" s="313">
        <v>149456.81</v>
      </c>
      <c r="G112" s="312">
        <v>139323.64000000001</v>
      </c>
      <c r="H112" s="313">
        <v>139685.99</v>
      </c>
      <c r="I112" s="313">
        <v>134285.73300000001</v>
      </c>
      <c r="J112" s="312">
        <v>114263.73020970001</v>
      </c>
      <c r="K112" s="412"/>
      <c r="L112" s="313">
        <v>149456.48000000001</v>
      </c>
      <c r="M112" s="313">
        <v>139323.32999999999</v>
      </c>
      <c r="N112" s="313">
        <v>129652.76000000001</v>
      </c>
      <c r="O112" s="313">
        <v>134285.73300000001</v>
      </c>
      <c r="P112" s="402">
        <v>114263.73020970001</v>
      </c>
      <c r="Q112" s="278"/>
      <c r="R112" s="322">
        <v>157453.55619474602</v>
      </c>
      <c r="S112" s="313">
        <v>146778.20508474225</v>
      </c>
      <c r="T112" s="313">
        <v>144186.46</v>
      </c>
      <c r="U112" s="313">
        <v>150227.57548917193</v>
      </c>
      <c r="V112" s="312">
        <v>127828.6439837364</v>
      </c>
      <c r="W112" s="289"/>
      <c r="X112" s="313">
        <v>149467.5</v>
      </c>
      <c r="Y112" s="313">
        <v>139333.6</v>
      </c>
      <c r="Z112" s="313">
        <v>138448.43</v>
      </c>
      <c r="AA112" s="313">
        <v>134289.4</v>
      </c>
      <c r="AB112" s="402">
        <v>114266.85045999999</v>
      </c>
      <c r="AC112" s="278"/>
      <c r="AD112" s="313">
        <v>150520.23000000001</v>
      </c>
      <c r="AE112" s="313">
        <v>140314.96</v>
      </c>
      <c r="AF112" s="313">
        <v>139770.04</v>
      </c>
      <c r="AG112" s="322">
        <v>136388.04329298151</v>
      </c>
      <c r="AH112" s="312">
        <v>116052.58603799797</v>
      </c>
      <c r="AI112" s="278"/>
      <c r="AJ112" s="313">
        <v>159583.17000000001</v>
      </c>
      <c r="AK112" s="313">
        <v>148763.43</v>
      </c>
      <c r="AL112" s="313">
        <v>135195.12</v>
      </c>
      <c r="AM112" s="322">
        <v>147904.7336872</v>
      </c>
      <c r="AN112" s="312">
        <v>125852.13789443848</v>
      </c>
      <c r="AO112" s="278"/>
      <c r="AP112" s="313">
        <v>150520.34</v>
      </c>
      <c r="AQ112" s="313">
        <v>140315.06</v>
      </c>
      <c r="AR112" s="313">
        <v>130795.66</v>
      </c>
      <c r="AS112" s="313">
        <v>136388.14130373724</v>
      </c>
      <c r="AT112" s="312">
        <v>116052.66943535002</v>
      </c>
      <c r="AU112" s="278"/>
      <c r="AV112" s="261">
        <v>152497.34</v>
      </c>
      <c r="AW112" s="313">
        <v>142158.01999999999</v>
      </c>
      <c r="AX112" s="313">
        <v>120081.95999999999</v>
      </c>
      <c r="AY112" s="313">
        <v>137357.69954140499</v>
      </c>
      <c r="AZ112" s="402">
        <v>116877.66653978151</v>
      </c>
      <c r="BA112" s="278"/>
      <c r="BB112" s="313">
        <v>151515.23000000001</v>
      </c>
      <c r="BC112" s="313">
        <v>141242.49</v>
      </c>
      <c r="BD112" s="313">
        <v>139012.10999999999</v>
      </c>
      <c r="BE112" s="313">
        <v>134285.73300000001</v>
      </c>
      <c r="BF112" s="312">
        <v>114263.73020970001</v>
      </c>
    </row>
    <row r="113" spans="1:58" ht="60.75" thickBot="1" x14ac:dyDescent="0.3">
      <c r="A113" s="372"/>
      <c r="B113" s="99" t="s">
        <v>318</v>
      </c>
      <c r="C113" s="99" t="s">
        <v>318</v>
      </c>
      <c r="D113" s="372"/>
      <c r="E113" s="335"/>
      <c r="F113" s="313"/>
      <c r="G113" s="312"/>
      <c r="H113" s="313"/>
      <c r="I113" s="313"/>
      <c r="J113" s="312"/>
      <c r="K113" s="412"/>
      <c r="L113" s="313"/>
      <c r="M113" s="313"/>
      <c r="N113" s="313"/>
      <c r="O113" s="313"/>
      <c r="P113" s="402"/>
      <c r="Q113" s="278"/>
      <c r="R113" s="322"/>
      <c r="S113" s="313"/>
      <c r="T113" s="313"/>
      <c r="U113" s="313"/>
      <c r="V113" s="312"/>
      <c r="W113" s="289"/>
      <c r="X113" s="313"/>
      <c r="Y113" s="313"/>
      <c r="Z113" s="313"/>
      <c r="AA113" s="313"/>
      <c r="AB113" s="402"/>
      <c r="AC113" s="278"/>
      <c r="AD113" s="313"/>
      <c r="AE113" s="313"/>
      <c r="AF113" s="313"/>
      <c r="AG113" s="322"/>
      <c r="AH113" s="312"/>
      <c r="AI113" s="278"/>
      <c r="AJ113" s="313"/>
      <c r="AK113" s="313"/>
      <c r="AL113" s="313"/>
      <c r="AM113" s="322"/>
      <c r="AN113" s="312"/>
      <c r="AO113" s="278"/>
      <c r="AP113" s="313"/>
      <c r="AQ113" s="313"/>
      <c r="AR113" s="313"/>
      <c r="AS113" s="313"/>
      <c r="AT113" s="312"/>
      <c r="AU113" s="278"/>
      <c r="AV113" s="261"/>
      <c r="AW113" s="313"/>
      <c r="AX113" s="313"/>
      <c r="AY113" s="313"/>
      <c r="AZ113" s="402"/>
      <c r="BA113" s="278"/>
      <c r="BB113" s="313"/>
      <c r="BC113" s="313"/>
      <c r="BD113" s="318"/>
      <c r="BE113" s="313"/>
      <c r="BF113" s="312"/>
    </row>
    <row r="114" spans="1:58" ht="15.75" thickBot="1" x14ac:dyDescent="0.3">
      <c r="A114" s="371" t="s">
        <v>319</v>
      </c>
      <c r="B114" s="97" t="s">
        <v>316</v>
      </c>
      <c r="C114" s="114" t="s">
        <v>43</v>
      </c>
      <c r="D114" s="371" t="s">
        <v>163</v>
      </c>
      <c r="E114" s="358" t="s">
        <v>309</v>
      </c>
      <c r="F114" s="313">
        <v>149456.81</v>
      </c>
      <c r="G114" s="312">
        <v>139323.64000000001</v>
      </c>
      <c r="H114" s="313">
        <v>143168.38</v>
      </c>
      <c r="I114" s="313">
        <v>187860.87000000002</v>
      </c>
      <c r="J114" s="313">
        <v>169093.56908700001</v>
      </c>
      <c r="K114" s="412"/>
      <c r="L114" s="313">
        <v>149456.48000000001</v>
      </c>
      <c r="M114" s="312">
        <v>139323.32999999999</v>
      </c>
      <c r="N114" s="313">
        <v>143058.51999999999</v>
      </c>
      <c r="O114" s="313">
        <v>187860.87000000002</v>
      </c>
      <c r="P114" s="259">
        <v>169093.56908700001</v>
      </c>
      <c r="Q114" s="278"/>
      <c r="R114" s="322">
        <v>157453.55619474602</v>
      </c>
      <c r="S114" s="312">
        <v>146778.20508474225</v>
      </c>
      <c r="T114" s="313">
        <v>151979.75</v>
      </c>
      <c r="U114" s="313">
        <v>202803.8322007845</v>
      </c>
      <c r="V114" s="313">
        <v>182543.72936392613</v>
      </c>
      <c r="W114" s="289"/>
      <c r="X114" s="313">
        <v>149467.5</v>
      </c>
      <c r="Y114" s="312">
        <v>139333.6</v>
      </c>
      <c r="Z114" s="313">
        <v>152058.19</v>
      </c>
      <c r="AA114" s="313">
        <v>187866</v>
      </c>
      <c r="AB114" s="259">
        <v>169098.18660000002</v>
      </c>
      <c r="AC114" s="278"/>
      <c r="AD114" s="313">
        <v>150520.23000000001</v>
      </c>
      <c r="AE114" s="312">
        <v>140314.96</v>
      </c>
      <c r="AF114" s="313">
        <v>143291.15</v>
      </c>
      <c r="AG114" s="322">
        <v>189831.43659586503</v>
      </c>
      <c r="AH114" s="313">
        <v>170867.27607993811</v>
      </c>
      <c r="AI114" s="278"/>
      <c r="AJ114" s="313">
        <v>159583.17000000001</v>
      </c>
      <c r="AK114" s="313">
        <v>148763.43</v>
      </c>
      <c r="AL114" s="313">
        <v>144515.94</v>
      </c>
      <c r="AM114" s="313">
        <v>200628.11311200002</v>
      </c>
      <c r="AN114" s="313">
        <v>180585.36461211121</v>
      </c>
      <c r="AO114" s="278"/>
      <c r="AP114" s="313">
        <v>150520.34</v>
      </c>
      <c r="AQ114" s="312">
        <v>140315.06</v>
      </c>
      <c r="AR114" s="313">
        <v>141216.22999999998</v>
      </c>
      <c r="AS114" s="313">
        <v>189831.57301194748</v>
      </c>
      <c r="AT114" s="313">
        <v>170867.39886805392</v>
      </c>
      <c r="AU114" s="278"/>
      <c r="AV114" s="261">
        <v>152497.34</v>
      </c>
      <c r="AW114" s="313">
        <v>142158.01999999999</v>
      </c>
      <c r="AX114" s="313">
        <v>133887.48000000001</v>
      </c>
      <c r="AY114" s="313">
        <v>190771.33312754999</v>
      </c>
      <c r="AZ114" s="259">
        <v>171713.27694810776</v>
      </c>
      <c r="BA114" s="278"/>
      <c r="BB114" s="313">
        <v>151515.23000000001</v>
      </c>
      <c r="BC114" s="312">
        <v>141242.49</v>
      </c>
      <c r="BD114" s="313">
        <v>143423.85</v>
      </c>
      <c r="BE114" s="313">
        <v>187860.87000000002</v>
      </c>
      <c r="BF114" s="313">
        <v>169093.56908700001</v>
      </c>
    </row>
    <row r="115" spans="1:58" ht="60.75" thickBot="1" x14ac:dyDescent="0.3">
      <c r="A115" s="372"/>
      <c r="B115" s="99" t="s">
        <v>320</v>
      </c>
      <c r="C115" s="99" t="s">
        <v>320</v>
      </c>
      <c r="D115" s="372"/>
      <c r="E115" s="335"/>
      <c r="F115" s="313"/>
      <c r="G115" s="312"/>
      <c r="H115" s="313"/>
      <c r="I115" s="313"/>
      <c r="J115" s="313"/>
      <c r="K115" s="412"/>
      <c r="L115" s="313"/>
      <c r="M115" s="312"/>
      <c r="N115" s="313"/>
      <c r="O115" s="313"/>
      <c r="P115" s="259"/>
      <c r="Q115" s="278"/>
      <c r="R115" s="322"/>
      <c r="S115" s="312"/>
      <c r="T115" s="313"/>
      <c r="U115" s="313"/>
      <c r="V115" s="313"/>
      <c r="W115" s="289"/>
      <c r="X115" s="313"/>
      <c r="Y115" s="312"/>
      <c r="Z115" s="313"/>
      <c r="AA115" s="313"/>
      <c r="AB115" s="259"/>
      <c r="AC115" s="278"/>
      <c r="AD115" s="313"/>
      <c r="AE115" s="312"/>
      <c r="AF115" s="313"/>
      <c r="AG115" s="322"/>
      <c r="AH115" s="313"/>
      <c r="AI115" s="278"/>
      <c r="AJ115" s="313"/>
      <c r="AK115" s="313"/>
      <c r="AL115" s="313"/>
      <c r="AM115" s="313"/>
      <c r="AN115" s="313"/>
      <c r="AO115" s="278"/>
      <c r="AP115" s="313"/>
      <c r="AQ115" s="312"/>
      <c r="AR115" s="313"/>
      <c r="AS115" s="313"/>
      <c r="AT115" s="313"/>
      <c r="AU115" s="278"/>
      <c r="AV115" s="261"/>
      <c r="AW115" s="313"/>
      <c r="AX115" s="313"/>
      <c r="AY115" s="313"/>
      <c r="AZ115" s="259"/>
      <c r="BA115" s="278"/>
      <c r="BB115" s="313"/>
      <c r="BC115" s="312"/>
      <c r="BD115" s="318"/>
      <c r="BE115" s="313"/>
      <c r="BF115" s="313"/>
    </row>
    <row r="116" spans="1:58" ht="15.75" thickBot="1" x14ac:dyDescent="0.3">
      <c r="A116" s="371" t="s">
        <v>319</v>
      </c>
      <c r="B116" s="97" t="s">
        <v>316</v>
      </c>
      <c r="C116" s="114" t="s">
        <v>43</v>
      </c>
      <c r="D116" s="371" t="s">
        <v>163</v>
      </c>
      <c r="E116" s="358" t="s">
        <v>309</v>
      </c>
      <c r="F116" s="313">
        <v>149456.81</v>
      </c>
      <c r="G116" s="312">
        <v>139323.64000000001</v>
      </c>
      <c r="H116" s="313">
        <v>175786.88</v>
      </c>
      <c r="I116" s="313">
        <v>187860.87000000002</v>
      </c>
      <c r="J116" s="312">
        <v>169093.56908700001</v>
      </c>
      <c r="K116" s="412"/>
      <c r="L116" s="313">
        <v>149456.48000000001</v>
      </c>
      <c r="M116" s="312">
        <v>139323.32999999999</v>
      </c>
      <c r="N116" s="313">
        <v>169394.41999999998</v>
      </c>
      <c r="O116" s="313">
        <v>187860.87000000002</v>
      </c>
      <c r="P116" s="402">
        <v>169093.56908700001</v>
      </c>
      <c r="Q116" s="278"/>
      <c r="R116" s="322">
        <v>157453.55619474602</v>
      </c>
      <c r="S116" s="312">
        <v>146778.20508474225</v>
      </c>
      <c r="T116" s="313">
        <v>184546.15</v>
      </c>
      <c r="U116" s="313">
        <v>202803.8322007845</v>
      </c>
      <c r="V116" s="312">
        <v>182543.72936392613</v>
      </c>
      <c r="W116" s="289"/>
      <c r="X116" s="313">
        <v>149467.5</v>
      </c>
      <c r="Y116" s="312">
        <v>139333.6</v>
      </c>
      <c r="Z116" s="313">
        <v>183822.29</v>
      </c>
      <c r="AA116" s="313">
        <v>187866</v>
      </c>
      <c r="AB116" s="402">
        <v>169098.18660000002</v>
      </c>
      <c r="AC116" s="278"/>
      <c r="AD116" s="313">
        <v>150520.23000000001</v>
      </c>
      <c r="AE116" s="312">
        <v>140314.96</v>
      </c>
      <c r="AF116" s="313">
        <v>176033.05</v>
      </c>
      <c r="AG116" s="313">
        <v>189831.43659586503</v>
      </c>
      <c r="AH116" s="312">
        <v>170867.27607993811</v>
      </c>
      <c r="AI116" s="278"/>
      <c r="AJ116" s="313">
        <v>159583.17000000001</v>
      </c>
      <c r="AK116" s="312">
        <v>148763.43</v>
      </c>
      <c r="AL116" s="313">
        <v>174877.14</v>
      </c>
      <c r="AM116" s="313">
        <v>200628.11311200002</v>
      </c>
      <c r="AN116" s="313">
        <v>180585.36461211121</v>
      </c>
      <c r="AO116" s="278"/>
      <c r="AP116" s="313">
        <v>150520.34</v>
      </c>
      <c r="AQ116" s="312">
        <v>140315.06</v>
      </c>
      <c r="AR116" s="313">
        <v>169964.22999999998</v>
      </c>
      <c r="AS116" s="313">
        <v>189831.57301194748</v>
      </c>
      <c r="AT116" s="313">
        <v>170867.39886805392</v>
      </c>
      <c r="AU116" s="278"/>
      <c r="AV116" s="261">
        <v>152497.34</v>
      </c>
      <c r="AW116" s="312">
        <v>142158.01999999999</v>
      </c>
      <c r="AX116" s="313">
        <v>157225.08000000002</v>
      </c>
      <c r="AY116" s="313">
        <v>190771.33312754999</v>
      </c>
      <c r="AZ116" s="259">
        <v>171713.27694810776</v>
      </c>
      <c r="BA116" s="278"/>
      <c r="BB116" s="313">
        <v>151515.23000000001</v>
      </c>
      <c r="BC116" s="312">
        <v>141242.49</v>
      </c>
      <c r="BD116" s="313">
        <v>176298.45</v>
      </c>
      <c r="BE116" s="313">
        <v>187860.87000000002</v>
      </c>
      <c r="BF116" s="312">
        <v>169093.56908700001</v>
      </c>
    </row>
    <row r="117" spans="1:58" ht="60.75" thickBot="1" x14ac:dyDescent="0.3">
      <c r="A117" s="372"/>
      <c r="B117" s="99" t="s">
        <v>321</v>
      </c>
      <c r="C117" s="99" t="s">
        <v>321</v>
      </c>
      <c r="D117" s="372"/>
      <c r="E117" s="335"/>
      <c r="F117" s="313"/>
      <c r="G117" s="312"/>
      <c r="H117" s="313"/>
      <c r="I117" s="313"/>
      <c r="J117" s="312"/>
      <c r="K117" s="412"/>
      <c r="L117" s="313"/>
      <c r="M117" s="312"/>
      <c r="N117" s="313"/>
      <c r="O117" s="313"/>
      <c r="P117" s="402"/>
      <c r="Q117" s="278"/>
      <c r="R117" s="322"/>
      <c r="S117" s="312"/>
      <c r="T117" s="313"/>
      <c r="U117" s="313"/>
      <c r="V117" s="312"/>
      <c r="W117" s="289"/>
      <c r="X117" s="313"/>
      <c r="Y117" s="312"/>
      <c r="Z117" s="313"/>
      <c r="AA117" s="313"/>
      <c r="AB117" s="402"/>
      <c r="AC117" s="278"/>
      <c r="AD117" s="313"/>
      <c r="AE117" s="312"/>
      <c r="AF117" s="313"/>
      <c r="AG117" s="313"/>
      <c r="AH117" s="312"/>
      <c r="AI117" s="278"/>
      <c r="AJ117" s="313"/>
      <c r="AK117" s="312"/>
      <c r="AL117" s="313"/>
      <c r="AM117" s="313"/>
      <c r="AN117" s="313"/>
      <c r="AO117" s="278"/>
      <c r="AP117" s="313"/>
      <c r="AQ117" s="312"/>
      <c r="AR117" s="313"/>
      <c r="AS117" s="313"/>
      <c r="AT117" s="313"/>
      <c r="AU117" s="278"/>
      <c r="AV117" s="261"/>
      <c r="AW117" s="312"/>
      <c r="AX117" s="313"/>
      <c r="AY117" s="313"/>
      <c r="AZ117" s="259"/>
      <c r="BA117" s="278"/>
      <c r="BB117" s="313"/>
      <c r="BC117" s="312"/>
      <c r="BD117" s="318"/>
      <c r="BE117" s="313"/>
      <c r="BF117" s="312"/>
    </row>
    <row r="118" spans="1:58" ht="15.75" thickBot="1" x14ac:dyDescent="0.3">
      <c r="A118" s="403" t="s">
        <v>275</v>
      </c>
      <c r="B118" s="404"/>
      <c r="C118" s="404"/>
      <c r="D118" s="404"/>
      <c r="E118" s="405"/>
      <c r="F118" s="285"/>
      <c r="G118" s="260"/>
      <c r="H118" s="260"/>
      <c r="I118" s="260"/>
      <c r="J118" s="261"/>
      <c r="K118" s="412"/>
      <c r="L118" s="259"/>
      <c r="M118" s="260"/>
      <c r="N118" s="260"/>
      <c r="O118" s="260"/>
      <c r="P118" s="261"/>
      <c r="Q118" s="278"/>
      <c r="R118" s="286"/>
      <c r="S118" s="287"/>
      <c r="T118" s="287"/>
      <c r="U118" s="287"/>
      <c r="V118" s="288"/>
      <c r="W118" s="278"/>
      <c r="X118" s="100"/>
      <c r="Y118" s="100"/>
      <c r="Z118" s="100"/>
      <c r="AA118" s="100"/>
      <c r="AB118" s="100"/>
      <c r="AC118" s="278"/>
      <c r="AD118" s="100"/>
      <c r="AE118" s="100"/>
      <c r="AF118" s="100"/>
      <c r="AG118" s="100"/>
      <c r="AH118" s="100"/>
      <c r="AI118" s="278"/>
      <c r="AJ118" s="100"/>
      <c r="AK118" s="100"/>
      <c r="AL118" s="100"/>
      <c r="AM118" s="102"/>
      <c r="AN118" s="100"/>
      <c r="AO118" s="278"/>
      <c r="AP118" s="100"/>
      <c r="AQ118" s="100"/>
      <c r="AR118" s="100"/>
      <c r="AS118" s="154"/>
      <c r="AT118" s="155"/>
      <c r="AU118" s="278"/>
      <c r="AV118" s="100"/>
      <c r="AW118" s="100"/>
      <c r="AX118" s="100"/>
      <c r="AY118" s="100"/>
      <c r="AZ118" s="100"/>
      <c r="BA118" s="278"/>
      <c r="BB118" s="148"/>
      <c r="BC118" s="102"/>
      <c r="BD118" s="162"/>
      <c r="BE118" s="102"/>
      <c r="BF118" s="154"/>
    </row>
    <row r="119" spans="1:58" ht="15.75" thickBot="1" x14ac:dyDescent="0.3">
      <c r="A119" s="371" t="s">
        <v>322</v>
      </c>
      <c r="B119" s="97" t="s">
        <v>299</v>
      </c>
      <c r="C119" s="24" t="s">
        <v>37</v>
      </c>
      <c r="D119" s="371" t="s">
        <v>138</v>
      </c>
      <c r="E119" s="406" t="s">
        <v>330</v>
      </c>
      <c r="F119" s="407">
        <v>199143.3927</v>
      </c>
      <c r="G119" s="383" t="s">
        <v>294</v>
      </c>
      <c r="H119" s="277">
        <v>233062.5</v>
      </c>
      <c r="I119" s="277">
        <v>245222.09400000001</v>
      </c>
      <c r="J119" s="277">
        <v>239949.818979</v>
      </c>
      <c r="K119" s="412"/>
      <c r="L119" s="277">
        <v>206582.37</v>
      </c>
      <c r="M119" s="383">
        <v>191729.1</v>
      </c>
      <c r="N119" s="277">
        <v>252674.85000000003</v>
      </c>
      <c r="O119" s="379">
        <v>250037.5486684725</v>
      </c>
      <c r="P119" s="381">
        <v>244661.74137210034</v>
      </c>
      <c r="Q119" s="278"/>
      <c r="R119" s="322">
        <v>210443.30238576166</v>
      </c>
      <c r="S119" s="312">
        <v>195312.42894422539</v>
      </c>
      <c r="T119" s="313">
        <v>258699.3</v>
      </c>
      <c r="U119" s="313">
        <v>251865.50096159196</v>
      </c>
      <c r="V119" s="312">
        <v>246450.39269091774</v>
      </c>
      <c r="W119" s="278"/>
      <c r="X119" s="398">
        <v>202729.65</v>
      </c>
      <c r="Y119" s="336">
        <v>188153.59</v>
      </c>
      <c r="Z119" s="375">
        <v>256357.19999999998</v>
      </c>
      <c r="AA119" s="375">
        <v>246546.26136</v>
      </c>
      <c r="AB119" s="377">
        <v>241245.51674076001</v>
      </c>
      <c r="AC119" s="278"/>
      <c r="AD119" s="398">
        <v>205076.68</v>
      </c>
      <c r="AE119" s="336">
        <v>190331.67</v>
      </c>
      <c r="AF119" s="375">
        <v>250125.44999999998</v>
      </c>
      <c r="AG119" s="375">
        <v>248513.3270184967</v>
      </c>
      <c r="AH119" s="377">
        <v>243170.29048759901</v>
      </c>
      <c r="AI119" s="278"/>
      <c r="AJ119" s="277">
        <v>218537</v>
      </c>
      <c r="AK119" s="383">
        <v>202824.19</v>
      </c>
      <c r="AL119" s="277">
        <v>238868.4</v>
      </c>
      <c r="AM119" s="388">
        <v>252366.85603236002</v>
      </c>
      <c r="AN119" s="277">
        <v>246940.96862766429</v>
      </c>
      <c r="AO119" s="278"/>
      <c r="AP119" s="277">
        <v>203365.91</v>
      </c>
      <c r="AQ119" s="383">
        <v>188743.91</v>
      </c>
      <c r="AR119" s="277">
        <v>233062.5</v>
      </c>
      <c r="AS119" s="313">
        <v>250269.86837800566</v>
      </c>
      <c r="AT119" s="313">
        <v>244889.06620787852</v>
      </c>
      <c r="AU119" s="278"/>
      <c r="AV119" s="295">
        <v>201291.07</v>
      </c>
      <c r="AW119" s="383">
        <v>186818.24</v>
      </c>
      <c r="AX119" s="277">
        <v>233062.5</v>
      </c>
      <c r="AY119" s="277">
        <v>246239.11533907501</v>
      </c>
      <c r="AZ119" s="293">
        <v>240944.97435928491</v>
      </c>
      <c r="BA119" s="278"/>
      <c r="BB119" s="379">
        <f>'[1]9 регионов'!L157</f>
        <v>200861.68752473284</v>
      </c>
      <c r="BC119" s="383">
        <v>186419.73</v>
      </c>
      <c r="BD119" s="277">
        <v>233062.5</v>
      </c>
      <c r="BE119" s="277">
        <v>245854.76700252001</v>
      </c>
      <c r="BF119" s="277">
        <v>240568.88951196583</v>
      </c>
    </row>
    <row r="120" spans="1:58" ht="30.75" thickBot="1" x14ac:dyDescent="0.3">
      <c r="A120" s="393"/>
      <c r="B120" s="98" t="s">
        <v>323</v>
      </c>
      <c r="C120" s="98" t="s">
        <v>323</v>
      </c>
      <c r="D120" s="393"/>
      <c r="E120" s="334"/>
      <c r="F120" s="408"/>
      <c r="G120" s="390"/>
      <c r="H120" s="278"/>
      <c r="I120" s="278"/>
      <c r="J120" s="278"/>
      <c r="K120" s="412"/>
      <c r="L120" s="278"/>
      <c r="M120" s="390"/>
      <c r="N120" s="278"/>
      <c r="O120" s="395"/>
      <c r="P120" s="401"/>
      <c r="Q120" s="278"/>
      <c r="R120" s="322"/>
      <c r="S120" s="312"/>
      <c r="T120" s="313"/>
      <c r="U120" s="313"/>
      <c r="V120" s="312"/>
      <c r="W120" s="278"/>
      <c r="X120" s="400"/>
      <c r="Y120" s="347"/>
      <c r="Z120" s="396"/>
      <c r="AA120" s="396"/>
      <c r="AB120" s="397"/>
      <c r="AC120" s="278"/>
      <c r="AD120" s="400"/>
      <c r="AE120" s="347"/>
      <c r="AF120" s="396"/>
      <c r="AG120" s="396"/>
      <c r="AH120" s="397"/>
      <c r="AI120" s="278"/>
      <c r="AJ120" s="278"/>
      <c r="AK120" s="390"/>
      <c r="AL120" s="278"/>
      <c r="AM120" s="410"/>
      <c r="AN120" s="278"/>
      <c r="AO120" s="278"/>
      <c r="AP120" s="278"/>
      <c r="AQ120" s="390"/>
      <c r="AR120" s="278"/>
      <c r="AS120" s="313"/>
      <c r="AT120" s="313"/>
      <c r="AU120" s="278"/>
      <c r="AV120" s="296"/>
      <c r="AW120" s="390"/>
      <c r="AX120" s="278"/>
      <c r="AY120" s="278"/>
      <c r="AZ120" s="289"/>
      <c r="BA120" s="278"/>
      <c r="BB120" s="395"/>
      <c r="BC120" s="390"/>
      <c r="BD120" s="278"/>
      <c r="BE120" s="278"/>
      <c r="BF120" s="278"/>
    </row>
    <row r="121" spans="1:58" ht="15.75" thickBot="1" x14ac:dyDescent="0.3">
      <c r="A121" s="372"/>
      <c r="B121" s="99"/>
      <c r="C121" s="99"/>
      <c r="D121" s="372"/>
      <c r="E121" s="335"/>
      <c r="F121" s="409"/>
      <c r="G121" s="384"/>
      <c r="H121" s="279"/>
      <c r="I121" s="279"/>
      <c r="J121" s="279"/>
      <c r="K121" s="412"/>
      <c r="L121" s="279"/>
      <c r="M121" s="384"/>
      <c r="N121" s="279"/>
      <c r="O121" s="380"/>
      <c r="P121" s="382"/>
      <c r="Q121" s="278"/>
      <c r="R121" s="322"/>
      <c r="S121" s="312"/>
      <c r="T121" s="313"/>
      <c r="U121" s="313"/>
      <c r="V121" s="312"/>
      <c r="W121" s="278"/>
      <c r="X121" s="399"/>
      <c r="Y121" s="359"/>
      <c r="Z121" s="376"/>
      <c r="AA121" s="376"/>
      <c r="AB121" s="378"/>
      <c r="AC121" s="278"/>
      <c r="AD121" s="399"/>
      <c r="AE121" s="359"/>
      <c r="AF121" s="376"/>
      <c r="AG121" s="376"/>
      <c r="AH121" s="378"/>
      <c r="AI121" s="278"/>
      <c r="AJ121" s="279"/>
      <c r="AK121" s="384"/>
      <c r="AL121" s="279"/>
      <c r="AM121" s="389"/>
      <c r="AN121" s="279"/>
      <c r="AO121" s="278"/>
      <c r="AP121" s="279"/>
      <c r="AQ121" s="384"/>
      <c r="AR121" s="279"/>
      <c r="AS121" s="313"/>
      <c r="AT121" s="313"/>
      <c r="AU121" s="278"/>
      <c r="AV121" s="297"/>
      <c r="AW121" s="384"/>
      <c r="AX121" s="279"/>
      <c r="AY121" s="279"/>
      <c r="AZ121" s="294"/>
      <c r="BA121" s="278"/>
      <c r="BB121" s="380"/>
      <c r="BC121" s="384"/>
      <c r="BD121" s="279"/>
      <c r="BE121" s="279"/>
      <c r="BF121" s="279"/>
    </row>
    <row r="122" spans="1:58" ht="15.75" thickBot="1" x14ac:dyDescent="0.3">
      <c r="A122" s="391" t="s">
        <v>286</v>
      </c>
      <c r="B122" s="392"/>
      <c r="C122" s="392"/>
      <c r="D122" s="392"/>
      <c r="E122" s="392"/>
      <c r="F122" s="148"/>
      <c r="G122" s="102"/>
      <c r="H122" s="102"/>
      <c r="I122" s="102"/>
      <c r="J122" s="156"/>
      <c r="K122" s="412"/>
      <c r="L122" s="259"/>
      <c r="M122" s="260"/>
      <c r="N122" s="260"/>
      <c r="O122" s="260"/>
      <c r="P122" s="261"/>
      <c r="Q122" s="278"/>
      <c r="R122" s="286"/>
      <c r="S122" s="287"/>
      <c r="T122" s="287"/>
      <c r="U122" s="287"/>
      <c r="V122" s="288"/>
      <c r="W122" s="278"/>
      <c r="X122" s="108"/>
      <c r="Y122" s="108"/>
      <c r="Z122" s="108"/>
      <c r="AA122" s="108"/>
      <c r="AB122" s="108"/>
      <c r="AC122" s="278"/>
      <c r="AD122" s="108"/>
      <c r="AE122" s="108"/>
      <c r="AF122" s="108"/>
      <c r="AG122" s="108"/>
      <c r="AH122" s="108"/>
      <c r="AI122" s="278"/>
      <c r="AJ122" s="108"/>
      <c r="AK122" s="108"/>
      <c r="AL122" s="108"/>
      <c r="AM122" s="108"/>
      <c r="AN122" s="108"/>
      <c r="AO122" s="278"/>
      <c r="AP122" s="108"/>
      <c r="AQ122" s="108"/>
      <c r="AR122" s="108"/>
      <c r="AS122" s="154"/>
      <c r="AT122" s="155"/>
      <c r="AU122" s="278"/>
      <c r="AV122" s="108"/>
      <c r="AW122" s="108"/>
      <c r="AX122" s="108"/>
      <c r="AY122" s="108"/>
      <c r="AZ122" s="108"/>
      <c r="BA122" s="278"/>
      <c r="BB122" s="148"/>
      <c r="BC122" s="102"/>
      <c r="BD122" s="162"/>
      <c r="BE122" s="102"/>
      <c r="BF122" s="154"/>
    </row>
    <row r="123" spans="1:58" ht="15.75" thickBot="1" x14ac:dyDescent="0.3">
      <c r="A123" s="393" t="s">
        <v>322</v>
      </c>
      <c r="B123" s="112" t="s">
        <v>307</v>
      </c>
      <c r="C123" s="113" t="s">
        <v>44</v>
      </c>
      <c r="D123" s="393" t="s">
        <v>138</v>
      </c>
      <c r="E123" s="394" t="s">
        <v>330</v>
      </c>
      <c r="F123" s="379">
        <v>202729.86</v>
      </c>
      <c r="G123" s="383">
        <v>201858.12</v>
      </c>
      <c r="H123" s="277">
        <v>233062.5</v>
      </c>
      <c r="I123" s="277">
        <v>223067.38860000003</v>
      </c>
      <c r="J123" s="383">
        <v>204128.96730786003</v>
      </c>
      <c r="K123" s="412"/>
      <c r="L123" s="277">
        <v>202729.41</v>
      </c>
      <c r="M123" s="383">
        <v>201857.67</v>
      </c>
      <c r="N123" s="277">
        <v>252674.85000000003</v>
      </c>
      <c r="O123" s="379">
        <v>223067.38860000003</v>
      </c>
      <c r="P123" s="381">
        <v>204128.96730786003</v>
      </c>
      <c r="Q123" s="278"/>
      <c r="R123" s="322">
        <v>203417.37960031055</v>
      </c>
      <c r="S123" s="312">
        <v>202542.68486802923</v>
      </c>
      <c r="T123" s="313">
        <v>258699.3</v>
      </c>
      <c r="U123" s="313">
        <v>238146.67304038192</v>
      </c>
      <c r="V123" s="312">
        <v>217928.0204992535</v>
      </c>
      <c r="W123" s="278"/>
      <c r="X123" s="398">
        <v>202744.36</v>
      </c>
      <c r="Y123" s="336">
        <v>201872.56</v>
      </c>
      <c r="Z123" s="375">
        <v>256357.19999999998</v>
      </c>
      <c r="AA123" s="375">
        <v>223073.48</v>
      </c>
      <c r="AB123" s="377">
        <v>204134.54154800001</v>
      </c>
      <c r="AC123" s="278"/>
      <c r="AD123" s="398">
        <v>202820.63</v>
      </c>
      <c r="AE123" s="336">
        <v>201948.5</v>
      </c>
      <c r="AF123" s="375">
        <v>250125.44999999998</v>
      </c>
      <c r="AG123" s="375">
        <v>225055.92283567472</v>
      </c>
      <c r="AH123" s="377">
        <v>205948.67498692594</v>
      </c>
      <c r="AI123" s="278"/>
      <c r="AJ123" s="277">
        <v>207530.65</v>
      </c>
      <c r="AK123" s="383">
        <v>206638.27</v>
      </c>
      <c r="AL123" s="277">
        <v>238868.4</v>
      </c>
      <c r="AM123" s="388">
        <v>235951.95814736004</v>
      </c>
      <c r="AN123" s="383">
        <v>215919.63690064917</v>
      </c>
      <c r="AO123" s="278"/>
      <c r="AP123" s="277">
        <v>202820.78</v>
      </c>
      <c r="AQ123" s="383">
        <v>201948.66</v>
      </c>
      <c r="AR123" s="277">
        <v>233062.5</v>
      </c>
      <c r="AS123" s="313">
        <v>225056.08456466903</v>
      </c>
      <c r="AT123" s="312">
        <v>205948.82298512862</v>
      </c>
      <c r="AU123" s="278"/>
      <c r="AV123" s="295">
        <v>202992.15</v>
      </c>
      <c r="AW123" s="383">
        <v>202119.28</v>
      </c>
      <c r="AX123" s="277">
        <v>233062.5</v>
      </c>
      <c r="AY123" s="277">
        <v>226021.14142248899</v>
      </c>
      <c r="AZ123" s="385">
        <v>206831.94651571967</v>
      </c>
      <c r="BA123" s="278"/>
      <c r="BB123" s="379">
        <v>205521.99</v>
      </c>
      <c r="BC123" s="383">
        <v>204638.24</v>
      </c>
      <c r="BD123" s="277">
        <v>233062.5</v>
      </c>
      <c r="BE123" s="277">
        <v>223067.38860000003</v>
      </c>
      <c r="BF123" s="383">
        <v>204128.96730786003</v>
      </c>
    </row>
    <row r="124" spans="1:58" ht="30.75" thickBot="1" x14ac:dyDescent="0.3">
      <c r="A124" s="372"/>
      <c r="B124" s="99" t="s">
        <v>323</v>
      </c>
      <c r="C124" s="99" t="s">
        <v>323</v>
      </c>
      <c r="D124" s="372"/>
      <c r="E124" s="335"/>
      <c r="F124" s="380"/>
      <c r="G124" s="384"/>
      <c r="H124" s="279"/>
      <c r="I124" s="279"/>
      <c r="J124" s="384"/>
      <c r="K124" s="276"/>
      <c r="L124" s="279"/>
      <c r="M124" s="384"/>
      <c r="N124" s="279"/>
      <c r="O124" s="380"/>
      <c r="P124" s="382"/>
      <c r="Q124" s="279"/>
      <c r="R124" s="322"/>
      <c r="S124" s="312"/>
      <c r="T124" s="313"/>
      <c r="U124" s="313"/>
      <c r="V124" s="312"/>
      <c r="W124" s="279"/>
      <c r="X124" s="399"/>
      <c r="Y124" s="359"/>
      <c r="Z124" s="376"/>
      <c r="AA124" s="376"/>
      <c r="AB124" s="378"/>
      <c r="AC124" s="279"/>
      <c r="AD124" s="399"/>
      <c r="AE124" s="359"/>
      <c r="AF124" s="376"/>
      <c r="AG124" s="376"/>
      <c r="AH124" s="378"/>
      <c r="AI124" s="279"/>
      <c r="AJ124" s="279"/>
      <c r="AK124" s="384"/>
      <c r="AL124" s="279"/>
      <c r="AM124" s="389"/>
      <c r="AN124" s="384"/>
      <c r="AO124" s="279"/>
      <c r="AP124" s="279"/>
      <c r="AQ124" s="384"/>
      <c r="AR124" s="279"/>
      <c r="AS124" s="313"/>
      <c r="AT124" s="312"/>
      <c r="AU124" s="279"/>
      <c r="AV124" s="297"/>
      <c r="AW124" s="384"/>
      <c r="AX124" s="279"/>
      <c r="AY124" s="279"/>
      <c r="AZ124" s="386"/>
      <c r="BA124" s="279"/>
      <c r="BB124" s="380"/>
      <c r="BC124" s="384"/>
      <c r="BD124" s="387"/>
      <c r="BE124" s="279"/>
      <c r="BF124" s="384"/>
    </row>
    <row r="125" spans="1:58" x14ac:dyDescent="0.25">
      <c r="A125" s="96"/>
      <c r="B125" s="96"/>
      <c r="C125" s="96"/>
      <c r="D125" s="96"/>
      <c r="E125" s="96"/>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c r="BA125" s="100"/>
      <c r="BB125" s="100"/>
      <c r="BC125" s="100"/>
      <c r="BD125" s="96"/>
      <c r="BE125" s="96"/>
      <c r="BF125" s="96"/>
    </row>
    <row r="126" spans="1:58" x14ac:dyDescent="0.25">
      <c r="A126" s="96"/>
      <c r="B126" s="96"/>
      <c r="C126" s="96"/>
      <c r="D126" s="96"/>
      <c r="E126" s="96"/>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c r="AO126" s="100"/>
      <c r="AP126" s="100"/>
      <c r="AQ126" s="100"/>
      <c r="AR126" s="100"/>
      <c r="AS126" s="100"/>
      <c r="AT126" s="100"/>
      <c r="AU126" s="100"/>
      <c r="AV126" s="100"/>
      <c r="AW126" s="100"/>
      <c r="AX126" s="100"/>
      <c r="AY126" s="100"/>
      <c r="AZ126" s="100"/>
      <c r="BA126" s="100"/>
      <c r="BB126" s="100"/>
      <c r="BC126" s="100"/>
      <c r="BD126" s="96"/>
      <c r="BE126" s="96"/>
      <c r="BF126" s="96"/>
    </row>
    <row r="127" spans="1:58" x14ac:dyDescent="0.25">
      <c r="A127" s="96"/>
      <c r="B127" s="96"/>
      <c r="C127" s="96"/>
      <c r="D127" s="96"/>
      <c r="E127" s="96"/>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100"/>
      <c r="AP127" s="100"/>
      <c r="AQ127" s="100"/>
      <c r="AR127" s="100"/>
      <c r="AS127" s="100"/>
      <c r="AT127" s="100"/>
      <c r="AU127" s="100"/>
      <c r="AV127" s="100"/>
      <c r="AW127" s="100"/>
      <c r="AX127" s="100"/>
      <c r="AY127" s="100"/>
      <c r="AZ127" s="100"/>
      <c r="BA127" s="100"/>
      <c r="BB127" s="100"/>
      <c r="BC127" s="100"/>
      <c r="BD127" s="96"/>
      <c r="BE127" s="96"/>
      <c r="BF127" s="96"/>
    </row>
    <row r="128" spans="1:58" x14ac:dyDescent="0.25">
      <c r="A128" s="96"/>
      <c r="B128" s="96"/>
      <c r="C128" s="96"/>
      <c r="D128" s="96"/>
      <c r="E128" s="96"/>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c r="AO128" s="100"/>
      <c r="AP128" s="100"/>
      <c r="AQ128" s="100"/>
      <c r="AR128" s="100"/>
      <c r="AS128" s="100"/>
      <c r="AT128" s="100"/>
      <c r="AU128" s="100"/>
      <c r="AV128" s="100"/>
      <c r="AW128" s="100"/>
      <c r="AX128" s="100"/>
      <c r="AY128" s="100"/>
      <c r="AZ128" s="100"/>
      <c r="BA128" s="100"/>
      <c r="BB128" s="100"/>
      <c r="BC128" s="100"/>
      <c r="BD128" s="96"/>
      <c r="BE128" s="96"/>
      <c r="BF128" s="96"/>
    </row>
    <row r="129" spans="1:58" x14ac:dyDescent="0.25">
      <c r="A129" s="96"/>
      <c r="B129" s="96"/>
      <c r="C129" s="96"/>
      <c r="D129" s="96"/>
      <c r="E129" s="96"/>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c r="AO129" s="100"/>
      <c r="AP129" s="100"/>
      <c r="AQ129" s="100"/>
      <c r="AR129" s="100"/>
      <c r="AS129" s="100"/>
      <c r="AT129" s="100"/>
      <c r="AU129" s="100"/>
      <c r="AV129" s="100"/>
      <c r="AW129" s="100"/>
      <c r="AX129" s="100"/>
      <c r="AY129" s="100"/>
      <c r="AZ129" s="100"/>
      <c r="BA129" s="100"/>
      <c r="BB129" s="100"/>
      <c r="BC129" s="100"/>
      <c r="BD129" s="96"/>
      <c r="BE129" s="96"/>
      <c r="BF129" s="96"/>
    </row>
    <row r="130" spans="1:58" x14ac:dyDescent="0.25">
      <c r="A130" s="96"/>
      <c r="B130" s="96"/>
      <c r="C130" s="96"/>
      <c r="D130" s="96"/>
      <c r="E130" s="96"/>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c r="AR130" s="100"/>
      <c r="AS130" s="100"/>
      <c r="AT130" s="100"/>
      <c r="AU130" s="100"/>
      <c r="AV130" s="100"/>
      <c r="AW130" s="100"/>
      <c r="AX130" s="100"/>
      <c r="AY130" s="100"/>
      <c r="AZ130" s="100"/>
      <c r="BA130" s="100"/>
      <c r="BB130" s="100"/>
      <c r="BC130" s="100"/>
      <c r="BD130" s="96"/>
      <c r="BE130" s="96"/>
      <c r="BF130" s="96"/>
    </row>
    <row r="131" spans="1:58" x14ac:dyDescent="0.25">
      <c r="A131" s="96"/>
      <c r="B131" s="96"/>
      <c r="C131" s="96"/>
      <c r="D131" s="96"/>
      <c r="E131" s="96"/>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0"/>
      <c r="AV131" s="100"/>
      <c r="AW131" s="100"/>
      <c r="AX131" s="100"/>
      <c r="AY131" s="100"/>
      <c r="AZ131" s="100"/>
      <c r="BA131" s="100"/>
      <c r="BB131" s="100"/>
      <c r="BC131" s="100"/>
      <c r="BD131" s="96"/>
      <c r="BE131" s="96"/>
      <c r="BF131" s="96"/>
    </row>
    <row r="132" spans="1:58" x14ac:dyDescent="0.25">
      <c r="A132" s="96"/>
      <c r="B132" s="96"/>
      <c r="C132" s="96"/>
      <c r="D132" s="96"/>
      <c r="E132" s="96"/>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c r="AO132" s="100"/>
      <c r="AP132" s="100"/>
      <c r="AQ132" s="100"/>
      <c r="AR132" s="100"/>
      <c r="AS132" s="100"/>
      <c r="AT132" s="100"/>
      <c r="AU132" s="100"/>
      <c r="AV132" s="100"/>
      <c r="AW132" s="100"/>
      <c r="AX132" s="100"/>
      <c r="AY132" s="100"/>
      <c r="AZ132" s="100"/>
      <c r="BA132" s="100"/>
      <c r="BB132" s="100"/>
      <c r="BC132" s="100"/>
      <c r="BD132" s="96"/>
      <c r="BE132" s="96"/>
      <c r="BF132" s="96"/>
    </row>
    <row r="133" spans="1:58" x14ac:dyDescent="0.25">
      <c r="A133" s="96"/>
      <c r="B133" s="96"/>
      <c r="C133" s="96"/>
      <c r="D133" s="96"/>
      <c r="E133" s="96"/>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c r="AO133" s="100"/>
      <c r="AP133" s="100"/>
      <c r="AQ133" s="100"/>
      <c r="AR133" s="100"/>
      <c r="AS133" s="100"/>
      <c r="AT133" s="100"/>
      <c r="AU133" s="100"/>
      <c r="AV133" s="100"/>
      <c r="AW133" s="100"/>
      <c r="AX133" s="100"/>
      <c r="AY133" s="100"/>
      <c r="AZ133" s="100"/>
      <c r="BA133" s="100"/>
      <c r="BB133" s="100"/>
      <c r="BC133" s="100"/>
      <c r="BD133" s="96"/>
      <c r="BE133" s="96"/>
      <c r="BF133" s="96"/>
    </row>
    <row r="134" spans="1:58" x14ac:dyDescent="0.25">
      <c r="A134" s="96"/>
      <c r="B134" s="96"/>
      <c r="C134" s="96"/>
      <c r="D134" s="96"/>
      <c r="E134" s="96"/>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c r="AO134" s="100"/>
      <c r="AP134" s="100"/>
      <c r="AQ134" s="100"/>
      <c r="AR134" s="100"/>
      <c r="AS134" s="100"/>
      <c r="AT134" s="100"/>
      <c r="AU134" s="100"/>
      <c r="AV134" s="100"/>
      <c r="AW134" s="100"/>
      <c r="AX134" s="100"/>
      <c r="AY134" s="100"/>
      <c r="AZ134" s="100"/>
      <c r="BA134" s="100"/>
      <c r="BB134" s="100"/>
      <c r="BC134" s="100"/>
      <c r="BD134" s="96"/>
      <c r="BE134" s="96"/>
      <c r="BF134" s="96"/>
    </row>
    <row r="135" spans="1:58" x14ac:dyDescent="0.25">
      <c r="A135" s="96"/>
      <c r="C135" s="96"/>
      <c r="D135" s="96"/>
      <c r="E135" s="96"/>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c r="BA135" s="100"/>
      <c r="BB135" s="100"/>
      <c r="BC135" s="100"/>
      <c r="BD135" s="96"/>
      <c r="BE135" s="96"/>
      <c r="BF135" s="96"/>
    </row>
    <row r="136" spans="1:58" x14ac:dyDescent="0.25">
      <c r="A136" s="96"/>
      <c r="B136" s="96"/>
      <c r="C136" s="96"/>
      <c r="D136" s="96"/>
      <c r="E136" s="96"/>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0"/>
      <c r="AY136" s="100"/>
      <c r="AZ136" s="100"/>
      <c r="BA136" s="100"/>
      <c r="BB136" s="100"/>
      <c r="BC136" s="100"/>
      <c r="BD136" s="96"/>
      <c r="BE136" s="96"/>
      <c r="BF136" s="96"/>
    </row>
    <row r="137" spans="1:58" x14ac:dyDescent="0.25">
      <c r="A137" s="96"/>
      <c r="B137" s="96"/>
      <c r="C137" s="96"/>
      <c r="D137" s="96"/>
      <c r="E137" s="96"/>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00"/>
      <c r="AN137" s="100"/>
      <c r="AO137" s="100"/>
      <c r="AP137" s="100"/>
      <c r="AQ137" s="100"/>
      <c r="AR137" s="100"/>
      <c r="AS137" s="100"/>
      <c r="AT137" s="100"/>
      <c r="AU137" s="100"/>
      <c r="AV137" s="100"/>
      <c r="AW137" s="100"/>
      <c r="AX137" s="100"/>
      <c r="AY137" s="100"/>
      <c r="AZ137" s="100"/>
      <c r="BA137" s="100"/>
      <c r="BB137" s="100"/>
      <c r="BC137" s="100"/>
      <c r="BD137" s="96"/>
      <c r="BE137" s="96"/>
      <c r="BF137" s="96"/>
    </row>
    <row r="138" spans="1:58" x14ac:dyDescent="0.25">
      <c r="A138" s="96"/>
      <c r="B138" s="96"/>
      <c r="C138" s="96"/>
      <c r="D138" s="96"/>
      <c r="E138" s="96"/>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c r="AM138" s="100"/>
      <c r="AN138" s="100"/>
      <c r="AO138" s="100"/>
      <c r="AP138" s="100"/>
      <c r="AQ138" s="100"/>
      <c r="AR138" s="100"/>
      <c r="AS138" s="100"/>
      <c r="AT138" s="100"/>
      <c r="AU138" s="100"/>
      <c r="AV138" s="100"/>
      <c r="AW138" s="100"/>
      <c r="AX138" s="100"/>
      <c r="AY138" s="100"/>
      <c r="AZ138" s="100"/>
      <c r="BA138" s="100"/>
      <c r="BB138" s="100"/>
      <c r="BC138" s="100"/>
      <c r="BD138" s="96"/>
      <c r="BE138" s="96"/>
      <c r="BF138" s="96"/>
    </row>
    <row r="139" spans="1:58" x14ac:dyDescent="0.25">
      <c r="A139" s="96"/>
      <c r="B139" s="96"/>
      <c r="C139" s="96"/>
      <c r="D139" s="96"/>
      <c r="E139" s="96"/>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96"/>
      <c r="BE139" s="96"/>
      <c r="BF139" s="96"/>
    </row>
    <row r="140" spans="1:58" x14ac:dyDescent="0.25">
      <c r="A140" s="96"/>
      <c r="B140" s="96"/>
      <c r="C140" s="96"/>
      <c r="D140" s="96"/>
      <c r="E140" s="96"/>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c r="BC140" s="100"/>
      <c r="BD140" s="96"/>
      <c r="BE140" s="96"/>
      <c r="BF140" s="96"/>
    </row>
    <row r="141" spans="1:58" x14ac:dyDescent="0.25">
      <c r="A141" s="96"/>
      <c r="B141" s="96"/>
      <c r="C141" s="96"/>
      <c r="D141" s="96"/>
      <c r="E141" s="96"/>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c r="BB141" s="100"/>
      <c r="BC141" s="100"/>
      <c r="BD141" s="96"/>
      <c r="BE141" s="96"/>
      <c r="BF141" s="96"/>
    </row>
    <row r="142" spans="1:58" x14ac:dyDescent="0.25">
      <c r="A142" s="96"/>
      <c r="B142" s="96"/>
      <c r="C142" s="96"/>
      <c r="D142" s="96"/>
      <c r="E142" s="96"/>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c r="BA142" s="100"/>
      <c r="BB142" s="100"/>
      <c r="BC142" s="100"/>
      <c r="BD142" s="96"/>
      <c r="BE142" s="96"/>
      <c r="BF142" s="96"/>
    </row>
    <row r="143" spans="1:58" x14ac:dyDescent="0.25">
      <c r="A143" s="96"/>
      <c r="B143" s="96"/>
      <c r="C143" s="96"/>
      <c r="D143" s="96"/>
      <c r="E143" s="96"/>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c r="BC143" s="100"/>
      <c r="BD143" s="96"/>
      <c r="BE143" s="96"/>
      <c r="BF143" s="96"/>
    </row>
    <row r="144" spans="1:58" x14ac:dyDescent="0.25">
      <c r="A144" s="96"/>
      <c r="B144" s="96"/>
      <c r="C144" s="96"/>
      <c r="D144" s="96"/>
      <c r="E144" s="96"/>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100"/>
      <c r="AM144" s="100"/>
      <c r="AN144" s="100"/>
      <c r="AO144" s="100"/>
      <c r="AP144" s="100"/>
      <c r="AQ144" s="100"/>
      <c r="AR144" s="100"/>
      <c r="AS144" s="100"/>
      <c r="AT144" s="100"/>
      <c r="AU144" s="100"/>
      <c r="AV144" s="100"/>
      <c r="AW144" s="100"/>
      <c r="AX144" s="100"/>
      <c r="AY144" s="100"/>
      <c r="AZ144" s="100"/>
      <c r="BA144" s="100"/>
      <c r="BB144" s="100"/>
      <c r="BC144" s="100"/>
      <c r="BD144" s="96"/>
      <c r="BE144" s="96"/>
      <c r="BF144" s="96"/>
    </row>
    <row r="145" spans="1:58" x14ac:dyDescent="0.25">
      <c r="A145" s="96"/>
      <c r="B145" s="96"/>
      <c r="C145" s="96"/>
      <c r="D145" s="96"/>
      <c r="E145" s="96"/>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c r="AL145" s="100"/>
      <c r="AM145" s="100"/>
      <c r="AN145" s="100"/>
      <c r="AO145" s="100"/>
      <c r="AP145" s="100"/>
      <c r="AQ145" s="100"/>
      <c r="AR145" s="100"/>
      <c r="AS145" s="100"/>
      <c r="AT145" s="100"/>
      <c r="AU145" s="100"/>
      <c r="AV145" s="100"/>
      <c r="AW145" s="100"/>
      <c r="AX145" s="100"/>
      <c r="AY145" s="100"/>
      <c r="AZ145" s="100"/>
      <c r="BA145" s="100"/>
      <c r="BB145" s="100"/>
      <c r="BC145" s="100"/>
      <c r="BD145" s="96"/>
      <c r="BE145" s="96"/>
      <c r="BF145" s="96"/>
    </row>
    <row r="146" spans="1:58" x14ac:dyDescent="0.25">
      <c r="A146" s="96"/>
      <c r="B146" s="96"/>
      <c r="C146" s="96"/>
      <c r="D146" s="96"/>
      <c r="E146" s="96"/>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00"/>
      <c r="AN146" s="100"/>
      <c r="AO146" s="100"/>
      <c r="AP146" s="100"/>
      <c r="AQ146" s="100"/>
      <c r="AR146" s="100"/>
      <c r="AS146" s="100"/>
      <c r="AT146" s="100"/>
      <c r="AU146" s="100"/>
      <c r="AV146" s="100"/>
      <c r="AW146" s="100"/>
      <c r="AX146" s="100"/>
      <c r="AY146" s="100"/>
      <c r="AZ146" s="100"/>
      <c r="BA146" s="100"/>
      <c r="BB146" s="100"/>
      <c r="BC146" s="100"/>
      <c r="BD146" s="96"/>
      <c r="BE146" s="96"/>
      <c r="BF146" s="96"/>
    </row>
    <row r="147" spans="1:58" x14ac:dyDescent="0.25">
      <c r="A147" s="96"/>
      <c r="B147" s="96"/>
      <c r="C147" s="96"/>
      <c r="D147" s="96"/>
      <c r="E147" s="96"/>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0"/>
      <c r="AL147" s="100"/>
      <c r="AM147" s="100"/>
      <c r="AN147" s="100"/>
      <c r="AO147" s="100"/>
      <c r="AP147" s="100"/>
      <c r="AQ147" s="100"/>
      <c r="AR147" s="100"/>
      <c r="AS147" s="100"/>
      <c r="AT147" s="100"/>
      <c r="AU147" s="100"/>
      <c r="AV147" s="100"/>
      <c r="AW147" s="100"/>
      <c r="AX147" s="100"/>
      <c r="AY147" s="100"/>
      <c r="AZ147" s="100"/>
      <c r="BA147" s="100"/>
      <c r="BB147" s="100"/>
      <c r="BC147" s="100"/>
      <c r="BD147" s="96"/>
      <c r="BE147" s="96"/>
      <c r="BF147" s="96"/>
    </row>
    <row r="148" spans="1:58" x14ac:dyDescent="0.25">
      <c r="A148" s="96"/>
      <c r="B148" s="96"/>
      <c r="C148" s="96"/>
      <c r="D148" s="96"/>
      <c r="E148" s="96"/>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c r="AH148" s="100"/>
      <c r="AI148" s="100"/>
      <c r="AJ148" s="100"/>
      <c r="AK148" s="100"/>
      <c r="AL148" s="100"/>
      <c r="AM148" s="100"/>
      <c r="AN148" s="100"/>
      <c r="AO148" s="100"/>
      <c r="AP148" s="100"/>
      <c r="AQ148" s="100"/>
      <c r="AR148" s="100"/>
      <c r="AS148" s="100"/>
      <c r="AT148" s="100"/>
      <c r="AU148" s="100"/>
      <c r="AV148" s="100"/>
      <c r="AW148" s="100"/>
      <c r="AX148" s="100"/>
      <c r="AY148" s="100"/>
      <c r="AZ148" s="100"/>
      <c r="BA148" s="100"/>
      <c r="BB148" s="100"/>
      <c r="BC148" s="100"/>
      <c r="BD148" s="96"/>
      <c r="BE148" s="96"/>
      <c r="BF148" s="96"/>
    </row>
    <row r="149" spans="1:58" x14ac:dyDescent="0.25">
      <c r="A149" s="96"/>
      <c r="B149" s="96"/>
      <c r="C149" s="96"/>
      <c r="D149" s="96"/>
      <c r="E149" s="96"/>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c r="AI149" s="100"/>
      <c r="AJ149" s="100"/>
      <c r="AK149" s="100"/>
      <c r="AL149" s="100"/>
      <c r="AM149" s="100"/>
      <c r="AN149" s="100"/>
      <c r="AO149" s="100"/>
      <c r="AP149" s="100"/>
      <c r="AQ149" s="100"/>
      <c r="AR149" s="100"/>
      <c r="AS149" s="100"/>
      <c r="AT149" s="100"/>
      <c r="AU149" s="100"/>
      <c r="AV149" s="100"/>
      <c r="AW149" s="100"/>
      <c r="AX149" s="100"/>
      <c r="AY149" s="100"/>
      <c r="AZ149" s="100"/>
      <c r="BA149" s="100"/>
      <c r="BB149" s="100"/>
      <c r="BC149" s="100"/>
      <c r="BD149" s="96"/>
      <c r="BE149" s="96"/>
      <c r="BF149" s="96"/>
    </row>
    <row r="150" spans="1:58" x14ac:dyDescent="0.25">
      <c r="A150" s="96"/>
      <c r="B150" s="96"/>
      <c r="C150" s="96"/>
      <c r="D150" s="96"/>
      <c r="E150" s="96"/>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c r="AO150" s="100"/>
      <c r="AP150" s="100"/>
      <c r="AQ150" s="100"/>
      <c r="AR150" s="100"/>
      <c r="AS150" s="100"/>
      <c r="AT150" s="100"/>
      <c r="AU150" s="100"/>
      <c r="AV150" s="100"/>
      <c r="AW150" s="100"/>
      <c r="AX150" s="100"/>
      <c r="AY150" s="100"/>
      <c r="AZ150" s="100"/>
      <c r="BA150" s="100"/>
      <c r="BB150" s="100"/>
      <c r="BC150" s="100"/>
      <c r="BD150" s="96"/>
      <c r="BE150" s="96"/>
      <c r="BF150" s="96"/>
    </row>
    <row r="151" spans="1:58" x14ac:dyDescent="0.25">
      <c r="A151" s="96"/>
      <c r="B151" s="96"/>
      <c r="C151" s="96"/>
      <c r="D151" s="96"/>
      <c r="E151" s="96"/>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c r="AO151" s="100"/>
      <c r="AP151" s="100"/>
      <c r="AQ151" s="100"/>
      <c r="AR151" s="100"/>
      <c r="AS151" s="100"/>
      <c r="AT151" s="100"/>
      <c r="AU151" s="100"/>
      <c r="AV151" s="100"/>
      <c r="AW151" s="100"/>
      <c r="AX151" s="100"/>
      <c r="AY151" s="100"/>
      <c r="AZ151" s="100"/>
      <c r="BA151" s="100"/>
      <c r="BB151" s="100"/>
      <c r="BC151" s="100"/>
      <c r="BD151" s="96"/>
      <c r="BE151" s="96"/>
      <c r="BF151" s="96"/>
    </row>
    <row r="152" spans="1:58" x14ac:dyDescent="0.25">
      <c r="A152" s="96"/>
      <c r="B152" s="96"/>
      <c r="C152" s="96"/>
      <c r="D152" s="96"/>
      <c r="E152" s="96"/>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c r="AM152" s="100"/>
      <c r="AN152" s="100"/>
      <c r="AO152" s="100"/>
      <c r="AP152" s="100"/>
      <c r="AQ152" s="100"/>
      <c r="AR152" s="100"/>
      <c r="AS152" s="100"/>
      <c r="AT152" s="100"/>
      <c r="AU152" s="100"/>
      <c r="AV152" s="100"/>
      <c r="AW152" s="100"/>
      <c r="AX152" s="100"/>
      <c r="AY152" s="100"/>
      <c r="AZ152" s="100"/>
      <c r="BA152" s="100"/>
      <c r="BB152" s="100"/>
      <c r="BC152" s="100"/>
      <c r="BD152" s="96"/>
      <c r="BE152" s="96"/>
      <c r="BF152" s="96"/>
    </row>
    <row r="153" spans="1:58" x14ac:dyDescent="0.25">
      <c r="A153" s="96"/>
      <c r="B153" s="96"/>
      <c r="C153" s="96"/>
      <c r="D153" s="96"/>
      <c r="E153" s="96"/>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c r="AO153" s="100"/>
      <c r="AP153" s="100"/>
      <c r="AQ153" s="100"/>
      <c r="AR153" s="100"/>
      <c r="AS153" s="100"/>
      <c r="AT153" s="100"/>
      <c r="AU153" s="100"/>
      <c r="AV153" s="100"/>
      <c r="AW153" s="100"/>
      <c r="AX153" s="100"/>
      <c r="AY153" s="100"/>
      <c r="AZ153" s="100"/>
      <c r="BA153" s="100"/>
      <c r="BB153" s="100"/>
      <c r="BC153" s="100"/>
      <c r="BD153" s="96"/>
      <c r="BE153" s="96"/>
      <c r="BF153" s="96"/>
    </row>
    <row r="154" spans="1:58" x14ac:dyDescent="0.25">
      <c r="A154" s="96"/>
      <c r="B154" s="96"/>
      <c r="C154" s="96"/>
      <c r="D154" s="96"/>
      <c r="E154" s="96"/>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0"/>
      <c r="AL154" s="100"/>
      <c r="AM154" s="100"/>
      <c r="AN154" s="100"/>
      <c r="AO154" s="100"/>
      <c r="AP154" s="100"/>
      <c r="AQ154" s="100"/>
      <c r="AR154" s="100"/>
      <c r="AS154" s="100"/>
      <c r="AT154" s="100"/>
      <c r="AU154" s="100"/>
      <c r="AV154" s="100"/>
      <c r="AW154" s="100"/>
      <c r="AX154" s="100"/>
      <c r="AY154" s="100"/>
      <c r="AZ154" s="100"/>
      <c r="BA154" s="100"/>
      <c r="BB154" s="100"/>
      <c r="BC154" s="100"/>
      <c r="BD154" s="96"/>
      <c r="BE154" s="96"/>
      <c r="BF154" s="96"/>
    </row>
    <row r="155" spans="1:58" x14ac:dyDescent="0.25">
      <c r="A155" s="96"/>
      <c r="B155" s="96"/>
      <c r="C155" s="96"/>
      <c r="D155" s="96"/>
      <c r="E155" s="96"/>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c r="AO155" s="100"/>
      <c r="AP155" s="100"/>
      <c r="AQ155" s="100"/>
      <c r="AR155" s="100"/>
      <c r="AS155" s="100"/>
      <c r="AT155" s="100"/>
      <c r="AU155" s="100"/>
      <c r="AV155" s="100"/>
      <c r="AW155" s="100"/>
      <c r="AX155" s="100"/>
      <c r="AY155" s="100"/>
      <c r="AZ155" s="100"/>
      <c r="BA155" s="100"/>
      <c r="BB155" s="100"/>
      <c r="BC155" s="100"/>
      <c r="BD155" s="96"/>
      <c r="BE155" s="96"/>
      <c r="BF155" s="96"/>
    </row>
    <row r="156" spans="1:58" x14ac:dyDescent="0.25">
      <c r="A156" s="96"/>
      <c r="B156" s="96"/>
      <c r="C156" s="96"/>
      <c r="D156" s="96"/>
      <c r="E156" s="96"/>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00"/>
      <c r="AN156" s="100"/>
      <c r="AO156" s="100"/>
      <c r="AP156" s="100"/>
      <c r="AQ156" s="100"/>
      <c r="AR156" s="100"/>
      <c r="AS156" s="100"/>
      <c r="AT156" s="100"/>
      <c r="AU156" s="100"/>
      <c r="AV156" s="100"/>
      <c r="AW156" s="100"/>
      <c r="AX156" s="100"/>
      <c r="AY156" s="100"/>
      <c r="AZ156" s="100"/>
      <c r="BA156" s="100"/>
      <c r="BB156" s="100"/>
      <c r="BC156" s="100"/>
      <c r="BD156" s="96"/>
      <c r="BE156" s="96"/>
      <c r="BF156" s="96"/>
    </row>
    <row r="157" spans="1:58" x14ac:dyDescent="0.25">
      <c r="A157" s="96"/>
      <c r="B157" s="96"/>
      <c r="C157" s="96"/>
      <c r="D157" s="96"/>
      <c r="E157" s="96"/>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c r="AN157" s="100"/>
      <c r="AO157" s="100"/>
      <c r="AP157" s="100"/>
      <c r="AQ157" s="100"/>
      <c r="AR157" s="100"/>
      <c r="AS157" s="100"/>
      <c r="AT157" s="100"/>
      <c r="AU157" s="100"/>
      <c r="AV157" s="100"/>
      <c r="AW157" s="100"/>
      <c r="AX157" s="100"/>
      <c r="AY157" s="100"/>
      <c r="AZ157" s="100"/>
      <c r="BA157" s="100"/>
      <c r="BB157" s="100"/>
      <c r="BC157" s="100"/>
      <c r="BD157" s="96"/>
      <c r="BE157" s="96"/>
      <c r="BF157" s="96"/>
    </row>
    <row r="158" spans="1:58" x14ac:dyDescent="0.25">
      <c r="A158" s="96"/>
      <c r="B158" s="96"/>
      <c r="C158" s="96"/>
      <c r="D158" s="96"/>
      <c r="E158" s="96"/>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c r="AH158" s="100"/>
      <c r="AI158" s="100"/>
      <c r="AJ158" s="100"/>
      <c r="AK158" s="100"/>
      <c r="AL158" s="100"/>
      <c r="AM158" s="100"/>
      <c r="AN158" s="100"/>
      <c r="AO158" s="100"/>
      <c r="AP158" s="100"/>
      <c r="AQ158" s="100"/>
      <c r="AR158" s="100"/>
      <c r="AS158" s="100"/>
      <c r="AT158" s="100"/>
      <c r="AU158" s="100"/>
      <c r="AV158" s="100"/>
      <c r="AW158" s="100"/>
      <c r="AX158" s="100"/>
      <c r="AY158" s="100"/>
      <c r="AZ158" s="100"/>
      <c r="BA158" s="100"/>
      <c r="BB158" s="100"/>
      <c r="BC158" s="100"/>
      <c r="BD158" s="96"/>
      <c r="BE158" s="96"/>
      <c r="BF158" s="96"/>
    </row>
    <row r="159" spans="1:58" x14ac:dyDescent="0.25">
      <c r="A159" s="96"/>
      <c r="B159" s="96"/>
      <c r="C159" s="96"/>
      <c r="D159" s="96"/>
      <c r="E159" s="96"/>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100"/>
      <c r="AL159" s="100"/>
      <c r="AM159" s="100"/>
      <c r="AN159" s="100"/>
      <c r="AO159" s="100"/>
      <c r="AP159" s="100"/>
      <c r="AQ159" s="100"/>
      <c r="AR159" s="100"/>
      <c r="AS159" s="100"/>
      <c r="AT159" s="100"/>
      <c r="AU159" s="100"/>
      <c r="AV159" s="100"/>
      <c r="AW159" s="100"/>
      <c r="AX159" s="100"/>
      <c r="AY159" s="100"/>
      <c r="AZ159" s="100"/>
      <c r="BA159" s="100"/>
      <c r="BB159" s="100"/>
      <c r="BC159" s="100"/>
      <c r="BD159" s="96"/>
      <c r="BE159" s="96"/>
      <c r="BF159" s="96"/>
    </row>
    <row r="160" spans="1:58" x14ac:dyDescent="0.25">
      <c r="A160" s="96"/>
      <c r="B160" s="96"/>
      <c r="C160" s="96"/>
      <c r="D160" s="96"/>
      <c r="E160" s="96"/>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00"/>
      <c r="AN160" s="100"/>
      <c r="AO160" s="100"/>
      <c r="AP160" s="100"/>
      <c r="AQ160" s="100"/>
      <c r="AR160" s="100"/>
      <c r="AS160" s="100"/>
      <c r="AT160" s="100"/>
      <c r="AU160" s="100"/>
      <c r="AV160" s="100"/>
      <c r="AW160" s="100"/>
      <c r="AX160" s="100"/>
      <c r="AY160" s="100"/>
      <c r="AZ160" s="100"/>
      <c r="BA160" s="100"/>
      <c r="BB160" s="100"/>
      <c r="BC160" s="100"/>
      <c r="BD160" s="96"/>
      <c r="BE160" s="96"/>
      <c r="BF160" s="96"/>
    </row>
    <row r="161" spans="1:58" x14ac:dyDescent="0.25">
      <c r="A161" s="96"/>
      <c r="B161" s="96"/>
      <c r="C161" s="96"/>
      <c r="D161" s="96"/>
      <c r="E161" s="96"/>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0"/>
      <c r="AK161" s="100"/>
      <c r="AL161" s="100"/>
      <c r="AM161" s="100"/>
      <c r="AN161" s="100"/>
      <c r="AO161" s="100"/>
      <c r="AP161" s="100"/>
      <c r="AQ161" s="100"/>
      <c r="AR161" s="100"/>
      <c r="AS161" s="100"/>
      <c r="AT161" s="100"/>
      <c r="AU161" s="100"/>
      <c r="AV161" s="100"/>
      <c r="AW161" s="100"/>
      <c r="AX161" s="100"/>
      <c r="AY161" s="100"/>
      <c r="AZ161" s="100"/>
      <c r="BA161" s="100"/>
      <c r="BB161" s="100"/>
      <c r="BC161" s="100"/>
      <c r="BD161" s="96"/>
      <c r="BE161" s="96"/>
      <c r="BF161" s="96"/>
    </row>
    <row r="162" spans="1:58" x14ac:dyDescent="0.25">
      <c r="A162" s="96"/>
      <c r="B162" s="96"/>
      <c r="C162" s="96"/>
      <c r="D162" s="96"/>
      <c r="E162" s="96"/>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00"/>
      <c r="AN162" s="100"/>
      <c r="AO162" s="100"/>
      <c r="AP162" s="100"/>
      <c r="AQ162" s="100"/>
      <c r="AR162" s="100"/>
      <c r="AS162" s="100"/>
      <c r="AT162" s="100"/>
      <c r="AU162" s="100"/>
      <c r="AV162" s="100"/>
      <c r="AW162" s="100"/>
      <c r="AX162" s="100"/>
      <c r="AY162" s="100"/>
      <c r="AZ162" s="100"/>
      <c r="BA162" s="100"/>
      <c r="BB162" s="100"/>
      <c r="BC162" s="100"/>
      <c r="BD162" s="96"/>
      <c r="BE162" s="96"/>
      <c r="BF162" s="96"/>
    </row>
    <row r="163" spans="1:58" x14ac:dyDescent="0.25">
      <c r="A163" s="96"/>
      <c r="B163" s="96"/>
      <c r="C163" s="96"/>
      <c r="D163" s="96"/>
      <c r="E163" s="96"/>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c r="AN163" s="100"/>
      <c r="AO163" s="100"/>
      <c r="AP163" s="100"/>
      <c r="AQ163" s="100"/>
      <c r="AR163" s="100"/>
      <c r="AS163" s="100"/>
      <c r="AT163" s="100"/>
      <c r="AU163" s="100"/>
      <c r="AV163" s="100"/>
      <c r="AW163" s="100"/>
      <c r="AX163" s="100"/>
      <c r="AY163" s="100"/>
      <c r="AZ163" s="100"/>
      <c r="BA163" s="100"/>
      <c r="BB163" s="100"/>
      <c r="BC163" s="100"/>
      <c r="BD163" s="96"/>
      <c r="BE163" s="96"/>
      <c r="BF163" s="96"/>
    </row>
    <row r="164" spans="1:58" x14ac:dyDescent="0.25">
      <c r="A164" s="96"/>
      <c r="B164" s="96"/>
      <c r="C164" s="96"/>
      <c r="D164" s="96"/>
      <c r="E164" s="96"/>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c r="AO164" s="100"/>
      <c r="AP164" s="100"/>
      <c r="AQ164" s="100"/>
      <c r="AR164" s="100"/>
      <c r="AS164" s="100"/>
      <c r="AT164" s="100"/>
      <c r="AU164" s="100"/>
      <c r="AV164" s="100"/>
      <c r="AW164" s="100"/>
      <c r="AX164" s="100"/>
      <c r="AY164" s="100"/>
      <c r="AZ164" s="100"/>
      <c r="BA164" s="100"/>
      <c r="BB164" s="100"/>
      <c r="BC164" s="100"/>
      <c r="BD164" s="96"/>
      <c r="BE164" s="96"/>
      <c r="BF164" s="96"/>
    </row>
    <row r="165" spans="1:58" x14ac:dyDescent="0.25">
      <c r="A165" s="96"/>
      <c r="B165" s="96"/>
      <c r="C165" s="96"/>
      <c r="D165" s="96"/>
      <c r="E165" s="96"/>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c r="AI165" s="100"/>
      <c r="AJ165" s="100"/>
      <c r="AK165" s="100"/>
      <c r="AL165" s="100"/>
      <c r="AM165" s="100"/>
      <c r="AN165" s="100"/>
      <c r="AO165" s="100"/>
      <c r="AP165" s="100"/>
      <c r="AQ165" s="100"/>
      <c r="AR165" s="100"/>
      <c r="AS165" s="100"/>
      <c r="AT165" s="100"/>
      <c r="AU165" s="100"/>
      <c r="AV165" s="100"/>
      <c r="AW165" s="100"/>
      <c r="AX165" s="100"/>
      <c r="AY165" s="100"/>
      <c r="AZ165" s="100"/>
      <c r="BA165" s="100"/>
      <c r="BB165" s="100"/>
      <c r="BC165" s="100"/>
      <c r="BD165" s="96"/>
      <c r="BE165" s="96"/>
      <c r="BF165" s="96"/>
    </row>
    <row r="166" spans="1:58" x14ac:dyDescent="0.25">
      <c r="A166" s="96"/>
      <c r="B166" s="96"/>
      <c r="C166" s="96"/>
      <c r="D166" s="96"/>
      <c r="E166" s="96"/>
      <c r="F166" s="100"/>
      <c r="G166" s="100"/>
      <c r="H166" s="100"/>
      <c r="I166" s="100"/>
      <c r="J166" s="100"/>
      <c r="K166" s="100"/>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c r="AG166" s="100"/>
      <c r="AH166" s="100"/>
      <c r="AI166" s="100"/>
      <c r="AJ166" s="100"/>
      <c r="AK166" s="100"/>
      <c r="AL166" s="100"/>
      <c r="AM166" s="100"/>
      <c r="AN166" s="100"/>
      <c r="AO166" s="100"/>
      <c r="AP166" s="100"/>
      <c r="AQ166" s="100"/>
      <c r="AR166" s="100"/>
      <c r="AS166" s="100"/>
      <c r="AT166" s="100"/>
      <c r="AU166" s="100"/>
      <c r="AV166" s="100"/>
      <c r="AW166" s="100"/>
      <c r="AX166" s="100"/>
      <c r="AY166" s="100"/>
      <c r="AZ166" s="100"/>
      <c r="BA166" s="100"/>
      <c r="BB166" s="100"/>
      <c r="BC166" s="100"/>
      <c r="BD166" s="96"/>
      <c r="BE166" s="96"/>
      <c r="BF166" s="96"/>
    </row>
    <row r="167" spans="1:58" x14ac:dyDescent="0.25">
      <c r="A167" s="96"/>
      <c r="B167" s="96"/>
      <c r="C167" s="96"/>
      <c r="D167" s="96"/>
      <c r="E167" s="96"/>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c r="AO167" s="100"/>
      <c r="AP167" s="100"/>
      <c r="AQ167" s="100"/>
      <c r="AR167" s="100"/>
      <c r="AS167" s="100"/>
      <c r="AT167" s="100"/>
      <c r="AU167" s="100"/>
      <c r="AV167" s="100"/>
      <c r="AW167" s="100"/>
      <c r="AX167" s="100"/>
      <c r="AY167" s="100"/>
      <c r="AZ167" s="100"/>
      <c r="BA167" s="100"/>
      <c r="BB167" s="100"/>
      <c r="BC167" s="100"/>
      <c r="BD167" s="96"/>
      <c r="BE167" s="96"/>
      <c r="BF167" s="96"/>
    </row>
    <row r="168" spans="1:58" x14ac:dyDescent="0.25">
      <c r="A168" s="96"/>
      <c r="B168" s="96"/>
      <c r="C168" s="96"/>
      <c r="D168" s="96"/>
      <c r="E168" s="96"/>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0"/>
      <c r="AY168" s="100"/>
      <c r="AZ168" s="100"/>
      <c r="BA168" s="100"/>
      <c r="BB168" s="100"/>
      <c r="BC168" s="100"/>
      <c r="BD168" s="96"/>
      <c r="BE168" s="96"/>
      <c r="BF168" s="96"/>
    </row>
    <row r="169" spans="1:58" x14ac:dyDescent="0.25">
      <c r="A169" s="96"/>
      <c r="B169" s="96"/>
      <c r="C169" s="96"/>
      <c r="D169" s="96"/>
      <c r="E169" s="96"/>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100"/>
      <c r="AX169" s="100"/>
      <c r="AY169" s="100"/>
      <c r="AZ169" s="100"/>
      <c r="BA169" s="100"/>
      <c r="BB169" s="100"/>
      <c r="BC169" s="100"/>
      <c r="BD169" s="96"/>
      <c r="BE169" s="96"/>
      <c r="BF169" s="96"/>
    </row>
    <row r="170" spans="1:58" x14ac:dyDescent="0.25">
      <c r="A170" s="96"/>
      <c r="B170" s="96"/>
      <c r="C170" s="96"/>
      <c r="D170" s="96"/>
      <c r="E170" s="96"/>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0"/>
      <c r="AY170" s="100"/>
      <c r="AZ170" s="100"/>
      <c r="BA170" s="100"/>
      <c r="BB170" s="100"/>
      <c r="BC170" s="100"/>
      <c r="BD170" s="96"/>
      <c r="BE170" s="96"/>
      <c r="BF170" s="96"/>
    </row>
    <row r="171" spans="1:58" x14ac:dyDescent="0.25">
      <c r="A171" s="96"/>
      <c r="B171" s="96"/>
      <c r="C171" s="96"/>
      <c r="D171" s="96"/>
      <c r="E171" s="96"/>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c r="AO171" s="100"/>
      <c r="AP171" s="100"/>
      <c r="AQ171" s="100"/>
      <c r="AR171" s="100"/>
      <c r="AS171" s="100"/>
      <c r="AT171" s="100"/>
      <c r="AU171" s="100"/>
      <c r="AV171" s="100"/>
      <c r="AW171" s="100"/>
      <c r="AX171" s="100"/>
      <c r="AY171" s="100"/>
      <c r="AZ171" s="100"/>
      <c r="BA171" s="100"/>
      <c r="BB171" s="100"/>
      <c r="BC171" s="100"/>
      <c r="BD171" s="96"/>
      <c r="BE171" s="96"/>
      <c r="BF171" s="96"/>
    </row>
    <row r="172" spans="1:58" x14ac:dyDescent="0.25">
      <c r="A172" s="96"/>
      <c r="B172" s="96"/>
      <c r="C172" s="96"/>
      <c r="D172" s="96"/>
      <c r="E172" s="96"/>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00"/>
      <c r="AN172" s="100"/>
      <c r="AO172" s="100"/>
      <c r="AP172" s="100"/>
      <c r="AQ172" s="100"/>
      <c r="AR172" s="100"/>
      <c r="AS172" s="100"/>
      <c r="AT172" s="100"/>
      <c r="AU172" s="100"/>
      <c r="AV172" s="100"/>
      <c r="AW172" s="100"/>
      <c r="AX172" s="100"/>
      <c r="AY172" s="100"/>
      <c r="AZ172" s="100"/>
      <c r="BA172" s="100"/>
      <c r="BB172" s="100"/>
      <c r="BC172" s="100"/>
      <c r="BD172" s="96"/>
      <c r="BE172" s="96"/>
      <c r="BF172" s="96"/>
    </row>
    <row r="173" spans="1:58" x14ac:dyDescent="0.25">
      <c r="A173" s="96"/>
      <c r="B173" s="96"/>
      <c r="C173" s="96"/>
      <c r="D173" s="96"/>
      <c r="E173" s="96"/>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00"/>
      <c r="AN173" s="100"/>
      <c r="AO173" s="100"/>
      <c r="AP173" s="100"/>
      <c r="AQ173" s="100"/>
      <c r="AR173" s="100"/>
      <c r="AS173" s="100"/>
      <c r="AT173" s="100"/>
      <c r="AU173" s="100"/>
      <c r="AV173" s="100"/>
      <c r="AW173" s="100"/>
      <c r="AX173" s="100"/>
      <c r="AY173" s="100"/>
      <c r="AZ173" s="100"/>
      <c r="BA173" s="100"/>
      <c r="BB173" s="100"/>
      <c r="BC173" s="100"/>
      <c r="BD173" s="96"/>
      <c r="BE173" s="96"/>
      <c r="BF173" s="96"/>
    </row>
    <row r="174" spans="1:58" x14ac:dyDescent="0.25">
      <c r="A174" s="96"/>
      <c r="B174" s="96"/>
      <c r="C174" s="96"/>
      <c r="D174" s="96"/>
      <c r="E174" s="96"/>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c r="AH174" s="100"/>
      <c r="AI174" s="100"/>
      <c r="AJ174" s="100"/>
      <c r="AK174" s="100"/>
      <c r="AL174" s="100"/>
      <c r="AM174" s="100"/>
      <c r="AN174" s="100"/>
      <c r="AO174" s="100"/>
      <c r="AP174" s="100"/>
      <c r="AQ174" s="100"/>
      <c r="AR174" s="100"/>
      <c r="AS174" s="100"/>
      <c r="AT174" s="100"/>
      <c r="AU174" s="100"/>
      <c r="AV174" s="100"/>
      <c r="AW174" s="100"/>
      <c r="AX174" s="100"/>
      <c r="AY174" s="100"/>
      <c r="AZ174" s="100"/>
      <c r="BA174" s="100"/>
      <c r="BB174" s="100"/>
      <c r="BC174" s="100"/>
      <c r="BD174" s="96"/>
      <c r="BE174" s="96"/>
      <c r="BF174" s="96"/>
    </row>
    <row r="175" spans="1:58" x14ac:dyDescent="0.25">
      <c r="A175" s="96"/>
      <c r="B175" s="96"/>
      <c r="C175" s="96"/>
      <c r="D175" s="96"/>
      <c r="E175" s="96"/>
      <c r="F175" s="100"/>
      <c r="G175" s="100"/>
      <c r="H175" s="100"/>
      <c r="I175" s="100"/>
      <c r="J175" s="100"/>
      <c r="K175" s="100"/>
      <c r="L175" s="100"/>
      <c r="M175" s="100"/>
      <c r="N175" s="100"/>
      <c r="O175" s="100"/>
      <c r="P175" s="100"/>
      <c r="Q175" s="100"/>
      <c r="R175" s="100"/>
      <c r="S175" s="100"/>
      <c r="T175" s="100"/>
      <c r="U175" s="100"/>
      <c r="V175" s="100"/>
      <c r="W175" s="100"/>
      <c r="X175" s="100"/>
      <c r="Y175" s="100"/>
      <c r="Z175" s="100"/>
      <c r="AA175" s="100"/>
      <c r="AB175" s="100"/>
      <c r="AC175" s="100"/>
      <c r="AD175" s="100"/>
      <c r="AE175" s="100"/>
      <c r="AF175" s="100"/>
      <c r="AG175" s="100"/>
      <c r="AH175" s="100"/>
      <c r="AI175" s="100"/>
      <c r="AJ175" s="100"/>
      <c r="AK175" s="100"/>
      <c r="AL175" s="100"/>
      <c r="AM175" s="100"/>
      <c r="AN175" s="100"/>
      <c r="AO175" s="100"/>
      <c r="AP175" s="100"/>
      <c r="AQ175" s="100"/>
      <c r="AR175" s="100"/>
      <c r="AS175" s="100"/>
      <c r="AT175" s="100"/>
      <c r="AU175" s="100"/>
      <c r="AV175" s="100"/>
      <c r="AW175" s="100"/>
      <c r="AX175" s="100"/>
      <c r="AY175" s="100"/>
      <c r="AZ175" s="100"/>
      <c r="BA175" s="100"/>
      <c r="BB175" s="100"/>
      <c r="BC175" s="100"/>
      <c r="BD175" s="96"/>
      <c r="BE175" s="96"/>
      <c r="BF175" s="96"/>
    </row>
    <row r="176" spans="1:58" x14ac:dyDescent="0.25">
      <c r="A176" s="96"/>
      <c r="B176" s="96"/>
      <c r="C176" s="96"/>
      <c r="D176" s="96"/>
      <c r="E176" s="96"/>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00"/>
      <c r="AN176" s="100"/>
      <c r="AO176" s="100"/>
      <c r="AP176" s="100"/>
      <c r="AQ176" s="100"/>
      <c r="AR176" s="100"/>
      <c r="AS176" s="100"/>
      <c r="AT176" s="100"/>
      <c r="AU176" s="100"/>
      <c r="AV176" s="100"/>
      <c r="AW176" s="100"/>
      <c r="AX176" s="100"/>
      <c r="AY176" s="100"/>
      <c r="AZ176" s="100"/>
      <c r="BA176" s="100"/>
      <c r="BB176" s="100"/>
      <c r="BC176" s="100"/>
      <c r="BD176" s="96"/>
      <c r="BE176" s="96"/>
      <c r="BF176" s="96"/>
    </row>
    <row r="177" spans="1:58" x14ac:dyDescent="0.25">
      <c r="A177" s="96"/>
      <c r="B177" s="96"/>
      <c r="C177" s="96"/>
      <c r="D177" s="96"/>
      <c r="E177" s="96"/>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c r="AG177" s="100"/>
      <c r="AH177" s="100"/>
      <c r="AI177" s="100"/>
      <c r="AJ177" s="100"/>
      <c r="AK177" s="100"/>
      <c r="AL177" s="100"/>
      <c r="AM177" s="100"/>
      <c r="AN177" s="100"/>
      <c r="AO177" s="100"/>
      <c r="AP177" s="100"/>
      <c r="AQ177" s="100"/>
      <c r="AR177" s="100"/>
      <c r="AS177" s="100"/>
      <c r="AT177" s="100"/>
      <c r="AU177" s="100"/>
      <c r="AV177" s="100"/>
      <c r="AW177" s="100"/>
      <c r="AX177" s="100"/>
      <c r="AY177" s="100"/>
      <c r="AZ177" s="100"/>
      <c r="BA177" s="100"/>
      <c r="BB177" s="100"/>
      <c r="BC177" s="100"/>
      <c r="BD177" s="96"/>
      <c r="BE177" s="96"/>
      <c r="BF177" s="96"/>
    </row>
    <row r="178" spans="1:58" x14ac:dyDescent="0.25">
      <c r="A178" s="96"/>
      <c r="B178" s="96"/>
      <c r="C178" s="96"/>
      <c r="D178" s="96"/>
      <c r="E178" s="96"/>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100"/>
      <c r="AL178" s="100"/>
      <c r="AM178" s="100"/>
      <c r="AN178" s="100"/>
      <c r="AO178" s="100"/>
      <c r="AP178" s="100"/>
      <c r="AQ178" s="100"/>
      <c r="AR178" s="100"/>
      <c r="AS178" s="100"/>
      <c r="AT178" s="100"/>
      <c r="AU178" s="100"/>
      <c r="AV178" s="100"/>
      <c r="AW178" s="100"/>
      <c r="AX178" s="100"/>
      <c r="AY178" s="100"/>
      <c r="AZ178" s="100"/>
      <c r="BA178" s="100"/>
      <c r="BB178" s="100"/>
      <c r="BC178" s="100"/>
      <c r="BD178" s="96"/>
      <c r="BE178" s="96"/>
      <c r="BF178" s="96"/>
    </row>
    <row r="179" spans="1:58" x14ac:dyDescent="0.25">
      <c r="A179" s="96"/>
      <c r="B179" s="96"/>
      <c r="C179" s="96"/>
      <c r="D179" s="96"/>
      <c r="E179" s="96"/>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c r="AM179" s="100"/>
      <c r="AN179" s="100"/>
      <c r="AO179" s="100"/>
      <c r="AP179" s="100"/>
      <c r="AQ179" s="100"/>
      <c r="AR179" s="100"/>
      <c r="AS179" s="100"/>
      <c r="AT179" s="100"/>
      <c r="AU179" s="100"/>
      <c r="AV179" s="100"/>
      <c r="AW179" s="100"/>
      <c r="AX179" s="100"/>
      <c r="AY179" s="100"/>
      <c r="AZ179" s="100"/>
      <c r="BA179" s="100"/>
      <c r="BB179" s="100"/>
      <c r="BC179" s="100"/>
      <c r="BD179" s="96"/>
      <c r="BE179" s="96"/>
      <c r="BF179" s="96"/>
    </row>
    <row r="180" spans="1:58" x14ac:dyDescent="0.25">
      <c r="A180" s="96"/>
      <c r="B180" s="96"/>
      <c r="C180" s="96"/>
      <c r="D180" s="96"/>
      <c r="E180" s="96"/>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c r="AG180" s="100"/>
      <c r="AH180" s="100"/>
      <c r="AI180" s="100"/>
      <c r="AJ180" s="100"/>
      <c r="AK180" s="100"/>
      <c r="AL180" s="100"/>
      <c r="AM180" s="100"/>
      <c r="AN180" s="100"/>
      <c r="AO180" s="100"/>
      <c r="AP180" s="100"/>
      <c r="AQ180" s="100"/>
      <c r="AR180" s="100"/>
      <c r="AS180" s="100"/>
      <c r="AT180" s="100"/>
      <c r="AU180" s="100"/>
      <c r="AV180" s="100"/>
      <c r="AW180" s="100"/>
      <c r="AX180" s="100"/>
      <c r="AY180" s="100"/>
      <c r="AZ180" s="100"/>
      <c r="BA180" s="100"/>
      <c r="BB180" s="100"/>
      <c r="BC180" s="100"/>
      <c r="BD180" s="96"/>
      <c r="BE180" s="96"/>
      <c r="BF180" s="96"/>
    </row>
    <row r="181" spans="1:58" x14ac:dyDescent="0.25">
      <c r="A181" s="96"/>
      <c r="B181" s="96"/>
      <c r="C181" s="96"/>
      <c r="D181" s="96"/>
      <c r="E181" s="96"/>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100"/>
      <c r="AL181" s="100"/>
      <c r="AM181" s="100"/>
      <c r="AN181" s="100"/>
      <c r="AO181" s="100"/>
      <c r="AP181" s="100"/>
      <c r="AQ181" s="100"/>
      <c r="AR181" s="100"/>
      <c r="AS181" s="100"/>
      <c r="AT181" s="100"/>
      <c r="AU181" s="100"/>
      <c r="AV181" s="100"/>
      <c r="AW181" s="100"/>
      <c r="AX181" s="100"/>
      <c r="AY181" s="100"/>
      <c r="AZ181" s="100"/>
      <c r="BA181" s="100"/>
      <c r="BB181" s="100"/>
      <c r="BC181" s="100"/>
      <c r="BD181" s="96"/>
      <c r="BE181" s="96"/>
      <c r="BF181" s="96"/>
    </row>
    <row r="182" spans="1:58" x14ac:dyDescent="0.25">
      <c r="A182" s="96"/>
      <c r="B182" s="96"/>
      <c r="C182" s="96"/>
      <c r="D182" s="96"/>
      <c r="E182" s="96"/>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c r="AH182" s="100"/>
      <c r="AI182" s="100"/>
      <c r="AJ182" s="100"/>
      <c r="AK182" s="100"/>
      <c r="AL182" s="100"/>
      <c r="AM182" s="100"/>
      <c r="AN182" s="100"/>
      <c r="AO182" s="100"/>
      <c r="AP182" s="100"/>
      <c r="AQ182" s="100"/>
      <c r="AR182" s="100"/>
      <c r="AS182" s="100"/>
      <c r="AT182" s="100"/>
      <c r="AU182" s="100"/>
      <c r="AV182" s="100"/>
      <c r="AW182" s="100"/>
      <c r="AX182" s="100"/>
      <c r="AY182" s="100"/>
      <c r="AZ182" s="100"/>
      <c r="BA182" s="100"/>
      <c r="BB182" s="100"/>
      <c r="BC182" s="100"/>
      <c r="BD182" s="96"/>
      <c r="BE182" s="96"/>
      <c r="BF182" s="96"/>
    </row>
    <row r="183" spans="1:58" x14ac:dyDescent="0.25">
      <c r="A183" s="96"/>
      <c r="B183" s="96"/>
      <c r="C183" s="96"/>
      <c r="D183" s="96"/>
      <c r="E183" s="96"/>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0"/>
      <c r="AI183" s="100"/>
      <c r="AJ183" s="100"/>
      <c r="AK183" s="100"/>
      <c r="AL183" s="100"/>
      <c r="AM183" s="100"/>
      <c r="AN183" s="100"/>
      <c r="AO183" s="100"/>
      <c r="AP183" s="100"/>
      <c r="AQ183" s="100"/>
      <c r="AR183" s="100"/>
      <c r="AS183" s="100"/>
      <c r="AT183" s="100"/>
      <c r="AU183" s="100"/>
      <c r="AV183" s="100"/>
      <c r="AW183" s="100"/>
      <c r="AX183" s="100"/>
      <c r="AY183" s="100"/>
      <c r="AZ183" s="100"/>
      <c r="BA183" s="100"/>
      <c r="BB183" s="100"/>
      <c r="BC183" s="100"/>
      <c r="BD183" s="96"/>
      <c r="BE183" s="96"/>
      <c r="BF183" s="96"/>
    </row>
    <row r="184" spans="1:58" x14ac:dyDescent="0.25">
      <c r="A184" s="96"/>
      <c r="B184" s="96"/>
      <c r="C184" s="96"/>
      <c r="D184" s="96"/>
      <c r="E184" s="96"/>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00"/>
      <c r="AN184" s="100"/>
      <c r="AO184" s="100"/>
      <c r="AP184" s="100"/>
      <c r="AQ184" s="100"/>
      <c r="AR184" s="100"/>
      <c r="AS184" s="100"/>
      <c r="AT184" s="100"/>
      <c r="AU184" s="100"/>
      <c r="AV184" s="100"/>
      <c r="AW184" s="100"/>
      <c r="AX184" s="100"/>
      <c r="AY184" s="100"/>
      <c r="AZ184" s="100"/>
      <c r="BA184" s="100"/>
      <c r="BB184" s="100"/>
      <c r="BC184" s="100"/>
      <c r="BD184" s="96"/>
      <c r="BE184" s="96"/>
      <c r="BF184" s="96"/>
    </row>
    <row r="185" spans="1:58" x14ac:dyDescent="0.25">
      <c r="A185" s="96"/>
      <c r="B185" s="96"/>
      <c r="C185" s="96"/>
      <c r="D185" s="96"/>
      <c r="E185" s="96"/>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c r="AO185" s="100"/>
      <c r="AP185" s="100"/>
      <c r="AQ185" s="100"/>
      <c r="AR185" s="100"/>
      <c r="AS185" s="100"/>
      <c r="AT185" s="100"/>
      <c r="AU185" s="100"/>
      <c r="AV185" s="100"/>
      <c r="AW185" s="100"/>
      <c r="AX185" s="100"/>
      <c r="AY185" s="100"/>
      <c r="AZ185" s="100"/>
      <c r="BA185" s="100"/>
      <c r="BB185" s="100"/>
      <c r="BC185" s="100"/>
      <c r="BD185" s="96"/>
      <c r="BE185" s="96"/>
      <c r="BF185" s="96"/>
    </row>
    <row r="186" spans="1:58" x14ac:dyDescent="0.25">
      <c r="A186" s="96"/>
      <c r="B186" s="96"/>
      <c r="C186" s="96"/>
      <c r="D186" s="96"/>
      <c r="E186" s="96"/>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0"/>
      <c r="AT186" s="100"/>
      <c r="AU186" s="100"/>
      <c r="AV186" s="100"/>
      <c r="AW186" s="100"/>
      <c r="AX186" s="100"/>
      <c r="AY186" s="100"/>
      <c r="AZ186" s="100"/>
      <c r="BA186" s="100"/>
      <c r="BB186" s="100"/>
      <c r="BC186" s="100"/>
      <c r="BD186" s="96"/>
      <c r="BE186" s="96"/>
      <c r="BF186" s="96"/>
    </row>
    <row r="187" spans="1:58" x14ac:dyDescent="0.25">
      <c r="A187" s="96"/>
      <c r="B187" s="96"/>
      <c r="C187" s="96"/>
      <c r="D187" s="96"/>
      <c r="E187" s="96"/>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c r="AN187" s="100"/>
      <c r="AO187" s="100"/>
      <c r="AP187" s="100"/>
      <c r="AQ187" s="100"/>
      <c r="AR187" s="100"/>
      <c r="AS187" s="100"/>
      <c r="AT187" s="100"/>
      <c r="AU187" s="100"/>
      <c r="AV187" s="100"/>
      <c r="AW187" s="100"/>
      <c r="AX187" s="100"/>
      <c r="AY187" s="100"/>
      <c r="AZ187" s="100"/>
      <c r="BA187" s="100"/>
      <c r="BB187" s="100"/>
      <c r="BC187" s="100"/>
      <c r="BD187" s="96"/>
      <c r="BE187" s="96"/>
      <c r="BF187" s="96"/>
    </row>
    <row r="188" spans="1:58" x14ac:dyDescent="0.25">
      <c r="A188" s="96"/>
      <c r="B188" s="96"/>
      <c r="C188" s="96"/>
      <c r="D188" s="96"/>
      <c r="E188" s="96"/>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0"/>
      <c r="AY188" s="100"/>
      <c r="AZ188" s="100"/>
      <c r="BA188" s="100"/>
      <c r="BB188" s="100"/>
      <c r="BC188" s="100"/>
      <c r="BD188" s="96"/>
      <c r="BE188" s="96"/>
      <c r="BF188" s="96"/>
    </row>
    <row r="189" spans="1:58" x14ac:dyDescent="0.25">
      <c r="A189" s="96"/>
      <c r="B189" s="96"/>
      <c r="C189" s="96"/>
      <c r="D189" s="96"/>
      <c r="E189" s="96"/>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00"/>
      <c r="AY189" s="100"/>
      <c r="AZ189" s="100"/>
      <c r="BA189" s="100"/>
      <c r="BB189" s="100"/>
      <c r="BC189" s="100"/>
      <c r="BD189" s="96"/>
      <c r="BE189" s="96"/>
      <c r="BF189" s="96"/>
    </row>
    <row r="190" spans="1:58" x14ac:dyDescent="0.25">
      <c r="A190" s="96"/>
      <c r="B190" s="96"/>
      <c r="C190" s="96"/>
      <c r="D190" s="96"/>
      <c r="E190" s="96"/>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c r="AI190" s="100"/>
      <c r="AJ190" s="100"/>
      <c r="AK190" s="100"/>
      <c r="AL190" s="100"/>
      <c r="AM190" s="100"/>
      <c r="AN190" s="100"/>
      <c r="AO190" s="100"/>
      <c r="AP190" s="100"/>
      <c r="AQ190" s="100"/>
      <c r="AR190" s="100"/>
      <c r="AS190" s="100"/>
      <c r="AT190" s="100"/>
      <c r="AU190" s="100"/>
      <c r="AV190" s="100"/>
      <c r="AW190" s="100"/>
      <c r="AX190" s="100"/>
      <c r="AY190" s="100"/>
      <c r="AZ190" s="100"/>
      <c r="BA190" s="100"/>
      <c r="BB190" s="100"/>
      <c r="BC190" s="100"/>
      <c r="BD190" s="96"/>
      <c r="BE190" s="96"/>
      <c r="BF190" s="96"/>
    </row>
    <row r="191" spans="1:58" x14ac:dyDescent="0.25">
      <c r="A191" s="96"/>
      <c r="B191" s="96"/>
      <c r="C191" s="96"/>
      <c r="D191" s="96"/>
      <c r="E191" s="96"/>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0"/>
      <c r="AL191" s="100"/>
      <c r="AM191" s="100"/>
      <c r="AN191" s="100"/>
      <c r="AO191" s="100"/>
      <c r="AP191" s="100"/>
      <c r="AQ191" s="100"/>
      <c r="AR191" s="100"/>
      <c r="AS191" s="100"/>
      <c r="AT191" s="100"/>
      <c r="AU191" s="100"/>
      <c r="AV191" s="100"/>
      <c r="AW191" s="100"/>
      <c r="AX191" s="100"/>
      <c r="AY191" s="100"/>
      <c r="AZ191" s="100"/>
      <c r="BA191" s="100"/>
      <c r="BB191" s="100"/>
      <c r="BC191" s="100"/>
      <c r="BD191" s="96"/>
      <c r="BE191" s="96"/>
      <c r="BF191" s="96"/>
    </row>
    <row r="192" spans="1:58" x14ac:dyDescent="0.25">
      <c r="A192" s="96"/>
      <c r="B192" s="96"/>
      <c r="C192" s="96"/>
      <c r="D192" s="96"/>
      <c r="E192" s="96"/>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c r="AH192" s="100"/>
      <c r="AI192" s="100"/>
      <c r="AJ192" s="100"/>
      <c r="AK192" s="100"/>
      <c r="AL192" s="100"/>
      <c r="AM192" s="100"/>
      <c r="AN192" s="100"/>
      <c r="AO192" s="100"/>
      <c r="AP192" s="100"/>
      <c r="AQ192" s="100"/>
      <c r="AR192" s="100"/>
      <c r="AS192" s="100"/>
      <c r="AT192" s="100"/>
      <c r="AU192" s="100"/>
      <c r="AV192" s="100"/>
      <c r="AW192" s="100"/>
      <c r="AX192" s="100"/>
      <c r="AY192" s="100"/>
      <c r="AZ192" s="100"/>
      <c r="BA192" s="100"/>
      <c r="BB192" s="100"/>
      <c r="BC192" s="100"/>
      <c r="BD192" s="96"/>
      <c r="BE192" s="96"/>
      <c r="BF192" s="96"/>
    </row>
    <row r="193" spans="1:58" x14ac:dyDescent="0.25">
      <c r="A193" s="96"/>
      <c r="B193" s="96"/>
      <c r="C193" s="96"/>
      <c r="D193" s="96"/>
      <c r="E193" s="96"/>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c r="AI193" s="100"/>
      <c r="AJ193" s="100"/>
      <c r="AK193" s="100"/>
      <c r="AL193" s="100"/>
      <c r="AM193" s="100"/>
      <c r="AN193" s="100"/>
      <c r="AO193" s="100"/>
      <c r="AP193" s="100"/>
      <c r="AQ193" s="100"/>
      <c r="AR193" s="100"/>
      <c r="AS193" s="100"/>
      <c r="AT193" s="100"/>
      <c r="AU193" s="100"/>
      <c r="AV193" s="100"/>
      <c r="AW193" s="100"/>
      <c r="AX193" s="100"/>
      <c r="AY193" s="100"/>
      <c r="AZ193" s="100"/>
      <c r="BA193" s="100"/>
      <c r="BB193" s="100"/>
      <c r="BC193" s="100"/>
      <c r="BD193" s="96"/>
      <c r="BE193" s="96"/>
      <c r="BF193" s="96"/>
    </row>
    <row r="194" spans="1:58" x14ac:dyDescent="0.25">
      <c r="A194" s="96"/>
      <c r="B194" s="96"/>
      <c r="C194" s="96"/>
      <c r="D194" s="96"/>
      <c r="E194" s="96"/>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c r="AH194" s="100"/>
      <c r="AI194" s="100"/>
      <c r="AJ194" s="100"/>
      <c r="AK194" s="100"/>
      <c r="AL194" s="100"/>
      <c r="AM194" s="100"/>
      <c r="AN194" s="100"/>
      <c r="AO194" s="100"/>
      <c r="AP194" s="100"/>
      <c r="AQ194" s="100"/>
      <c r="AR194" s="100"/>
      <c r="AS194" s="100"/>
      <c r="AT194" s="100"/>
      <c r="AU194" s="100"/>
      <c r="AV194" s="100"/>
      <c r="AW194" s="100"/>
      <c r="AX194" s="100"/>
      <c r="AY194" s="100"/>
      <c r="AZ194" s="100"/>
      <c r="BA194" s="100"/>
      <c r="BB194" s="100"/>
      <c r="BC194" s="100"/>
      <c r="BD194" s="96"/>
      <c r="BE194" s="96"/>
      <c r="BF194" s="96"/>
    </row>
    <row r="195" spans="1:58" x14ac:dyDescent="0.25">
      <c r="A195" s="96"/>
      <c r="B195" s="96"/>
      <c r="C195" s="96"/>
      <c r="D195" s="96"/>
      <c r="E195" s="96"/>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00"/>
      <c r="AN195" s="100"/>
      <c r="AO195" s="100"/>
      <c r="AP195" s="100"/>
      <c r="AQ195" s="100"/>
      <c r="AR195" s="100"/>
      <c r="AS195" s="100"/>
      <c r="AT195" s="100"/>
      <c r="AU195" s="100"/>
      <c r="AV195" s="100"/>
      <c r="AW195" s="100"/>
      <c r="AX195" s="100"/>
      <c r="AY195" s="100"/>
      <c r="AZ195" s="100"/>
      <c r="BA195" s="100"/>
      <c r="BB195" s="100"/>
      <c r="BC195" s="100"/>
      <c r="BD195" s="96"/>
      <c r="BE195" s="96"/>
      <c r="BF195" s="96"/>
    </row>
    <row r="196" spans="1:58" x14ac:dyDescent="0.25">
      <c r="A196" s="96"/>
      <c r="B196" s="96"/>
      <c r="C196" s="96"/>
      <c r="D196" s="96"/>
      <c r="E196" s="96"/>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0"/>
      <c r="AL196" s="100"/>
      <c r="AM196" s="100"/>
      <c r="AN196" s="100"/>
      <c r="AO196" s="100"/>
      <c r="AP196" s="100"/>
      <c r="AQ196" s="100"/>
      <c r="AR196" s="100"/>
      <c r="AS196" s="100"/>
      <c r="AT196" s="100"/>
      <c r="AU196" s="100"/>
      <c r="AV196" s="100"/>
      <c r="AW196" s="100"/>
      <c r="AX196" s="100"/>
      <c r="AY196" s="100"/>
      <c r="AZ196" s="100"/>
      <c r="BA196" s="100"/>
      <c r="BB196" s="100"/>
      <c r="BC196" s="100"/>
      <c r="BD196" s="96"/>
      <c r="BE196" s="96"/>
      <c r="BF196" s="96"/>
    </row>
    <row r="197" spans="1:58" x14ac:dyDescent="0.25">
      <c r="A197" s="96"/>
      <c r="B197" s="96"/>
      <c r="C197" s="96"/>
      <c r="D197" s="96"/>
      <c r="E197" s="96"/>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c r="AG197" s="100"/>
      <c r="AH197" s="100"/>
      <c r="AI197" s="100"/>
      <c r="AJ197" s="100"/>
      <c r="AK197" s="100"/>
      <c r="AL197" s="100"/>
      <c r="AM197" s="100"/>
      <c r="AN197" s="100"/>
      <c r="AO197" s="100"/>
      <c r="AP197" s="100"/>
      <c r="AQ197" s="100"/>
      <c r="AR197" s="100"/>
      <c r="AS197" s="100"/>
      <c r="AT197" s="100"/>
      <c r="AU197" s="100"/>
      <c r="AV197" s="100"/>
      <c r="AW197" s="100"/>
      <c r="AX197" s="100"/>
      <c r="AY197" s="100"/>
      <c r="AZ197" s="100"/>
      <c r="BA197" s="100"/>
      <c r="BB197" s="100"/>
      <c r="BC197" s="100"/>
      <c r="BD197" s="96"/>
      <c r="BE197" s="96"/>
      <c r="BF197" s="96"/>
    </row>
    <row r="198" spans="1:58" x14ac:dyDescent="0.25">
      <c r="A198" s="96"/>
      <c r="B198" s="96"/>
      <c r="C198" s="96"/>
      <c r="D198" s="96"/>
      <c r="E198" s="96"/>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c r="AG198" s="100"/>
      <c r="AH198" s="100"/>
      <c r="AI198" s="100"/>
      <c r="AJ198" s="100"/>
      <c r="AK198" s="100"/>
      <c r="AL198" s="100"/>
      <c r="AM198" s="100"/>
      <c r="AN198" s="100"/>
      <c r="AO198" s="100"/>
      <c r="AP198" s="100"/>
      <c r="AQ198" s="100"/>
      <c r="AR198" s="100"/>
      <c r="AS198" s="100"/>
      <c r="AT198" s="100"/>
      <c r="AU198" s="100"/>
      <c r="AV198" s="100"/>
      <c r="AW198" s="100"/>
      <c r="AX198" s="100"/>
      <c r="AY198" s="100"/>
      <c r="AZ198" s="100"/>
      <c r="BA198" s="100"/>
      <c r="BB198" s="100"/>
      <c r="BC198" s="100"/>
      <c r="BD198" s="96"/>
      <c r="BE198" s="96"/>
      <c r="BF198" s="96"/>
    </row>
    <row r="199" spans="1:58" x14ac:dyDescent="0.25">
      <c r="A199" s="96"/>
      <c r="B199" s="96"/>
      <c r="C199" s="96"/>
      <c r="D199" s="96"/>
      <c r="E199" s="96"/>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c r="AD199" s="100"/>
      <c r="AE199" s="100"/>
      <c r="AF199" s="100"/>
      <c r="AG199" s="100"/>
      <c r="AH199" s="100"/>
      <c r="AI199" s="100"/>
      <c r="AJ199" s="100"/>
      <c r="AK199" s="100"/>
      <c r="AL199" s="100"/>
      <c r="AM199" s="100"/>
      <c r="AN199" s="100"/>
      <c r="AO199" s="100"/>
      <c r="AP199" s="100"/>
      <c r="AQ199" s="100"/>
      <c r="AR199" s="100"/>
      <c r="AS199" s="100"/>
      <c r="AT199" s="100"/>
      <c r="AU199" s="100"/>
      <c r="AV199" s="100"/>
      <c r="AW199" s="100"/>
      <c r="AX199" s="100"/>
      <c r="AY199" s="100"/>
      <c r="AZ199" s="100"/>
      <c r="BA199" s="100"/>
      <c r="BB199" s="100"/>
      <c r="BC199" s="100"/>
      <c r="BD199" s="96"/>
      <c r="BE199" s="96"/>
      <c r="BF199" s="96"/>
    </row>
    <row r="200" spans="1:58" x14ac:dyDescent="0.25">
      <c r="A200" s="96"/>
      <c r="B200" s="96"/>
      <c r="C200" s="96"/>
      <c r="D200" s="96"/>
      <c r="E200" s="96"/>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c r="AD200" s="100"/>
      <c r="AE200" s="100"/>
      <c r="AF200" s="100"/>
      <c r="AG200" s="100"/>
      <c r="AH200" s="100"/>
      <c r="AI200" s="100"/>
      <c r="AJ200" s="100"/>
      <c r="AK200" s="100"/>
      <c r="AL200" s="100"/>
      <c r="AM200" s="100"/>
      <c r="AN200" s="100"/>
      <c r="AO200" s="100"/>
      <c r="AP200" s="100"/>
      <c r="AQ200" s="100"/>
      <c r="AR200" s="100"/>
      <c r="AS200" s="100"/>
      <c r="AT200" s="100"/>
      <c r="AU200" s="100"/>
      <c r="AV200" s="100"/>
      <c r="AW200" s="100"/>
      <c r="AX200" s="100"/>
      <c r="AY200" s="100"/>
      <c r="AZ200" s="100"/>
      <c r="BA200" s="100"/>
      <c r="BB200" s="100"/>
      <c r="BC200" s="100"/>
      <c r="BD200" s="96"/>
      <c r="BE200" s="96"/>
      <c r="BF200" s="96"/>
    </row>
    <row r="201" spans="1:58" x14ac:dyDescent="0.25">
      <c r="A201" s="96"/>
      <c r="B201" s="96"/>
      <c r="C201" s="96"/>
      <c r="D201" s="96"/>
      <c r="E201" s="96"/>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c r="AD201" s="100"/>
      <c r="AE201" s="100"/>
      <c r="AF201" s="100"/>
      <c r="AG201" s="100"/>
      <c r="AH201" s="100"/>
      <c r="AI201" s="100"/>
      <c r="AJ201" s="100"/>
      <c r="AK201" s="100"/>
      <c r="AL201" s="100"/>
      <c r="AM201" s="100"/>
      <c r="AN201" s="100"/>
      <c r="AO201" s="100"/>
      <c r="AP201" s="100"/>
      <c r="AQ201" s="100"/>
      <c r="AR201" s="100"/>
      <c r="AS201" s="100"/>
      <c r="AT201" s="100"/>
      <c r="AU201" s="100"/>
      <c r="AV201" s="100"/>
      <c r="AW201" s="100"/>
      <c r="AX201" s="100"/>
      <c r="AY201" s="100"/>
      <c r="AZ201" s="100"/>
      <c r="BA201" s="100"/>
      <c r="BB201" s="100"/>
      <c r="BC201" s="100"/>
      <c r="BD201" s="96"/>
      <c r="BE201" s="96"/>
      <c r="BF201" s="96"/>
    </row>
    <row r="202" spans="1:58" x14ac:dyDescent="0.25">
      <c r="A202" s="96"/>
      <c r="B202" s="96"/>
      <c r="C202" s="96"/>
      <c r="D202" s="96"/>
      <c r="E202" s="96"/>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c r="AD202" s="100"/>
      <c r="AE202" s="100"/>
      <c r="AF202" s="100"/>
      <c r="AG202" s="100"/>
      <c r="AH202" s="100"/>
      <c r="AI202" s="100"/>
      <c r="AJ202" s="100"/>
      <c r="AK202" s="100"/>
      <c r="AL202" s="100"/>
      <c r="AM202" s="100"/>
      <c r="AN202" s="100"/>
      <c r="AO202" s="100"/>
      <c r="AP202" s="100"/>
      <c r="AQ202" s="100"/>
      <c r="AR202" s="100"/>
      <c r="AS202" s="100"/>
      <c r="AT202" s="100"/>
      <c r="AU202" s="100"/>
      <c r="AV202" s="100"/>
      <c r="AW202" s="100"/>
      <c r="AX202" s="100"/>
      <c r="AY202" s="100"/>
      <c r="AZ202" s="100"/>
      <c r="BA202" s="100"/>
      <c r="BB202" s="100"/>
      <c r="BC202" s="100"/>
      <c r="BD202" s="96"/>
      <c r="BE202" s="96"/>
      <c r="BF202" s="96"/>
    </row>
    <row r="203" spans="1:58" x14ac:dyDescent="0.25">
      <c r="A203" s="96"/>
      <c r="B203" s="96"/>
      <c r="C203" s="96"/>
      <c r="D203" s="96"/>
      <c r="E203" s="96"/>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c r="AD203" s="100"/>
      <c r="AE203" s="100"/>
      <c r="AF203" s="100"/>
      <c r="AG203" s="100"/>
      <c r="AH203" s="100"/>
      <c r="AI203" s="100"/>
      <c r="AJ203" s="100"/>
      <c r="AK203" s="100"/>
      <c r="AL203" s="100"/>
      <c r="AM203" s="100"/>
      <c r="AN203" s="100"/>
      <c r="AO203" s="100"/>
      <c r="AP203" s="100"/>
      <c r="AQ203" s="100"/>
      <c r="AR203" s="100"/>
      <c r="AS203" s="100"/>
      <c r="AT203" s="100"/>
      <c r="AU203" s="100"/>
      <c r="AV203" s="100"/>
      <c r="AW203" s="100"/>
      <c r="AX203" s="100"/>
      <c r="AY203" s="100"/>
      <c r="AZ203" s="100"/>
      <c r="BA203" s="100"/>
      <c r="BB203" s="100"/>
      <c r="BC203" s="100"/>
      <c r="BD203" s="96"/>
      <c r="BE203" s="96"/>
      <c r="BF203" s="96"/>
    </row>
    <row r="204" spans="1:58" x14ac:dyDescent="0.25">
      <c r="A204" s="96"/>
      <c r="B204" s="96"/>
      <c r="C204" s="96"/>
      <c r="D204" s="96"/>
      <c r="E204" s="96"/>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c r="AG204" s="100"/>
      <c r="AH204" s="100"/>
      <c r="AI204" s="100"/>
      <c r="AJ204" s="100"/>
      <c r="AK204" s="100"/>
      <c r="AL204" s="100"/>
      <c r="AM204" s="100"/>
      <c r="AN204" s="100"/>
      <c r="AO204" s="100"/>
      <c r="AP204" s="100"/>
      <c r="AQ204" s="100"/>
      <c r="AR204" s="100"/>
      <c r="AS204" s="100"/>
      <c r="AT204" s="100"/>
      <c r="AU204" s="100"/>
      <c r="AV204" s="100"/>
      <c r="AW204" s="100"/>
      <c r="AX204" s="100"/>
      <c r="AY204" s="100"/>
      <c r="AZ204" s="100"/>
      <c r="BA204" s="100"/>
      <c r="BB204" s="100"/>
      <c r="BC204" s="100"/>
      <c r="BD204" s="96"/>
      <c r="BE204" s="96"/>
      <c r="BF204" s="96"/>
    </row>
    <row r="205" spans="1:58" x14ac:dyDescent="0.25">
      <c r="A205" s="96"/>
      <c r="B205" s="96"/>
      <c r="C205" s="96"/>
      <c r="D205" s="96"/>
      <c r="E205" s="96"/>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c r="AH205" s="100"/>
      <c r="AI205" s="100"/>
      <c r="AJ205" s="100"/>
      <c r="AK205" s="100"/>
      <c r="AL205" s="100"/>
      <c r="AM205" s="100"/>
      <c r="AN205" s="100"/>
      <c r="AO205" s="100"/>
      <c r="AP205" s="100"/>
      <c r="AQ205" s="100"/>
      <c r="AR205" s="100"/>
      <c r="AS205" s="100"/>
      <c r="AT205" s="100"/>
      <c r="AU205" s="100"/>
      <c r="AV205" s="100"/>
      <c r="AW205" s="100"/>
      <c r="AX205" s="100"/>
      <c r="AY205" s="100"/>
      <c r="AZ205" s="100"/>
      <c r="BA205" s="100"/>
      <c r="BB205" s="100"/>
      <c r="BC205" s="100"/>
      <c r="BD205" s="96"/>
      <c r="BE205" s="96"/>
      <c r="BF205" s="96"/>
    </row>
    <row r="206" spans="1:58" x14ac:dyDescent="0.25">
      <c r="A206" s="96"/>
      <c r="B206" s="96"/>
      <c r="C206" s="96"/>
      <c r="D206" s="96"/>
      <c r="E206" s="96"/>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c r="AD206" s="100"/>
      <c r="AE206" s="100"/>
      <c r="AF206" s="100"/>
      <c r="AG206" s="100"/>
      <c r="AH206" s="100"/>
      <c r="AI206" s="100"/>
      <c r="AJ206" s="100"/>
      <c r="AK206" s="100"/>
      <c r="AL206" s="100"/>
      <c r="AM206" s="100"/>
      <c r="AN206" s="100"/>
      <c r="AO206" s="100"/>
      <c r="AP206" s="100"/>
      <c r="AQ206" s="100"/>
      <c r="AR206" s="100"/>
      <c r="AS206" s="100"/>
      <c r="AT206" s="100"/>
      <c r="AU206" s="100"/>
      <c r="AV206" s="100"/>
      <c r="AW206" s="100"/>
      <c r="AX206" s="100"/>
      <c r="AY206" s="100"/>
      <c r="AZ206" s="100"/>
      <c r="BA206" s="100"/>
      <c r="BB206" s="100"/>
      <c r="BC206" s="100"/>
      <c r="BD206" s="96"/>
      <c r="BE206" s="96"/>
      <c r="BF206" s="96"/>
    </row>
    <row r="207" spans="1:58" x14ac:dyDescent="0.25">
      <c r="A207" s="96"/>
      <c r="B207" s="96"/>
      <c r="C207" s="96"/>
      <c r="D207" s="96"/>
      <c r="E207" s="96"/>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c r="AD207" s="100"/>
      <c r="AE207" s="100"/>
      <c r="AF207" s="100"/>
      <c r="AG207" s="100"/>
      <c r="AH207" s="100"/>
      <c r="AI207" s="100"/>
      <c r="AJ207" s="100"/>
      <c r="AK207" s="100"/>
      <c r="AL207" s="100"/>
      <c r="AM207" s="100"/>
      <c r="AN207" s="100"/>
      <c r="AO207" s="100"/>
      <c r="AP207" s="100"/>
      <c r="AQ207" s="100"/>
      <c r="AR207" s="100"/>
      <c r="AS207" s="100"/>
      <c r="AT207" s="100"/>
      <c r="AU207" s="100"/>
      <c r="AV207" s="100"/>
      <c r="AW207" s="100"/>
      <c r="AX207" s="100"/>
      <c r="AY207" s="100"/>
      <c r="AZ207" s="100"/>
      <c r="BA207" s="100"/>
      <c r="BB207" s="100"/>
      <c r="BC207" s="100"/>
      <c r="BD207" s="96"/>
      <c r="BE207" s="96"/>
      <c r="BF207" s="96"/>
    </row>
    <row r="208" spans="1:58" x14ac:dyDescent="0.25">
      <c r="A208" s="96"/>
      <c r="B208" s="96"/>
      <c r="C208" s="96"/>
      <c r="D208" s="96"/>
      <c r="E208" s="96"/>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c r="AD208" s="100"/>
      <c r="AE208" s="100"/>
      <c r="AF208" s="100"/>
      <c r="AG208" s="100"/>
      <c r="AH208" s="100"/>
      <c r="AI208" s="100"/>
      <c r="AJ208" s="100"/>
      <c r="AK208" s="100"/>
      <c r="AL208" s="100"/>
      <c r="AM208" s="100"/>
      <c r="AN208" s="100"/>
      <c r="AO208" s="100"/>
      <c r="AP208" s="100"/>
      <c r="AQ208" s="100"/>
      <c r="AR208" s="100"/>
      <c r="AS208" s="100"/>
      <c r="AT208" s="100"/>
      <c r="AU208" s="100"/>
      <c r="AV208" s="100"/>
      <c r="AW208" s="100"/>
      <c r="AX208" s="100"/>
      <c r="AY208" s="100"/>
      <c r="AZ208" s="100"/>
      <c r="BA208" s="100"/>
      <c r="BB208" s="100"/>
      <c r="BC208" s="100"/>
      <c r="BD208" s="96"/>
      <c r="BE208" s="96"/>
      <c r="BF208" s="96"/>
    </row>
    <row r="209" spans="1:58" x14ac:dyDescent="0.25">
      <c r="A209" s="96"/>
      <c r="B209" s="96"/>
      <c r="C209" s="96"/>
      <c r="D209" s="96"/>
      <c r="E209" s="96"/>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c r="AG209" s="100"/>
      <c r="AH209" s="100"/>
      <c r="AI209" s="100"/>
      <c r="AJ209" s="100"/>
      <c r="AK209" s="100"/>
      <c r="AL209" s="100"/>
      <c r="AM209" s="100"/>
      <c r="AN209" s="100"/>
      <c r="AO209" s="100"/>
      <c r="AP209" s="100"/>
      <c r="AQ209" s="100"/>
      <c r="AR209" s="100"/>
      <c r="AS209" s="100"/>
      <c r="AT209" s="100"/>
      <c r="AU209" s="100"/>
      <c r="AV209" s="100"/>
      <c r="AW209" s="100"/>
      <c r="AX209" s="100"/>
      <c r="AY209" s="100"/>
      <c r="AZ209" s="100"/>
      <c r="BA209" s="100"/>
      <c r="BB209" s="100"/>
      <c r="BC209" s="100"/>
      <c r="BD209" s="96"/>
      <c r="BE209" s="96"/>
      <c r="BF209" s="96"/>
    </row>
    <row r="210" spans="1:58" x14ac:dyDescent="0.25">
      <c r="A210" s="96"/>
      <c r="B210" s="96"/>
      <c r="C210" s="96"/>
      <c r="D210" s="96"/>
      <c r="E210" s="96"/>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c r="AD210" s="100"/>
      <c r="AE210" s="100"/>
      <c r="AF210" s="100"/>
      <c r="AG210" s="100"/>
      <c r="AH210" s="100"/>
      <c r="AI210" s="100"/>
      <c r="AJ210" s="100"/>
      <c r="AK210" s="100"/>
      <c r="AL210" s="100"/>
      <c r="AM210" s="100"/>
      <c r="AN210" s="100"/>
      <c r="AO210" s="100"/>
      <c r="AP210" s="100"/>
      <c r="AQ210" s="100"/>
      <c r="AR210" s="100"/>
      <c r="AS210" s="100"/>
      <c r="AT210" s="100"/>
      <c r="AU210" s="100"/>
      <c r="AV210" s="100"/>
      <c r="AW210" s="100"/>
      <c r="AX210" s="100"/>
      <c r="AY210" s="100"/>
      <c r="AZ210" s="100"/>
      <c r="BA210" s="100"/>
      <c r="BB210" s="100"/>
      <c r="BC210" s="100"/>
      <c r="BD210" s="96"/>
      <c r="BE210" s="96"/>
      <c r="BF210" s="96"/>
    </row>
    <row r="211" spans="1:58" x14ac:dyDescent="0.25">
      <c r="A211" s="96"/>
      <c r="B211" s="96"/>
      <c r="C211" s="96"/>
      <c r="D211" s="96"/>
      <c r="E211" s="96"/>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c r="AD211" s="100"/>
      <c r="AE211" s="100"/>
      <c r="AF211" s="100"/>
      <c r="AG211" s="100"/>
      <c r="AH211" s="100"/>
      <c r="AI211" s="100"/>
      <c r="AJ211" s="100"/>
      <c r="AK211" s="100"/>
      <c r="AL211" s="100"/>
      <c r="AM211" s="100"/>
      <c r="AN211" s="100"/>
      <c r="AO211" s="100"/>
      <c r="AP211" s="100"/>
      <c r="AQ211" s="100"/>
      <c r="AR211" s="100"/>
      <c r="AS211" s="100"/>
      <c r="AT211" s="100"/>
      <c r="AU211" s="100"/>
      <c r="AV211" s="100"/>
      <c r="AW211" s="100"/>
      <c r="AX211" s="100"/>
      <c r="AY211" s="100"/>
      <c r="AZ211" s="100"/>
      <c r="BA211" s="100"/>
      <c r="BB211" s="100"/>
      <c r="BC211" s="100"/>
      <c r="BD211" s="96"/>
      <c r="BE211" s="96"/>
      <c r="BF211" s="96"/>
    </row>
    <row r="212" spans="1:58" x14ac:dyDescent="0.25">
      <c r="A212" s="96"/>
      <c r="B212" s="96"/>
      <c r="C212" s="96"/>
      <c r="D212" s="96"/>
      <c r="E212" s="96"/>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c r="AG212" s="100"/>
      <c r="AH212" s="100"/>
      <c r="AI212" s="100"/>
      <c r="AJ212" s="100"/>
      <c r="AK212" s="100"/>
      <c r="AL212" s="100"/>
      <c r="AM212" s="100"/>
      <c r="AN212" s="100"/>
      <c r="AO212" s="100"/>
      <c r="AP212" s="100"/>
      <c r="AQ212" s="100"/>
      <c r="AR212" s="100"/>
      <c r="AS212" s="100"/>
      <c r="AT212" s="100"/>
      <c r="AU212" s="100"/>
      <c r="AV212" s="100"/>
      <c r="AW212" s="100"/>
      <c r="AX212" s="100"/>
      <c r="AY212" s="100"/>
      <c r="AZ212" s="100"/>
      <c r="BA212" s="100"/>
      <c r="BB212" s="100"/>
      <c r="BC212" s="100"/>
      <c r="BD212" s="96"/>
      <c r="BE212" s="96"/>
      <c r="BF212" s="96"/>
    </row>
    <row r="213" spans="1:58" x14ac:dyDescent="0.25">
      <c r="A213" s="96"/>
      <c r="B213" s="96"/>
      <c r="C213" s="96"/>
      <c r="D213" s="96"/>
      <c r="E213" s="96"/>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c r="AD213" s="100"/>
      <c r="AE213" s="100"/>
      <c r="AF213" s="100"/>
      <c r="AG213" s="100"/>
      <c r="AH213" s="100"/>
      <c r="AI213" s="100"/>
      <c r="AJ213" s="100"/>
      <c r="AK213" s="100"/>
      <c r="AL213" s="100"/>
      <c r="AM213" s="100"/>
      <c r="AN213" s="100"/>
      <c r="AO213" s="100"/>
      <c r="AP213" s="100"/>
      <c r="AQ213" s="100"/>
      <c r="AR213" s="100"/>
      <c r="AS213" s="100"/>
      <c r="AT213" s="100"/>
      <c r="AU213" s="100"/>
      <c r="AV213" s="100"/>
      <c r="AW213" s="100"/>
      <c r="AX213" s="100"/>
      <c r="AY213" s="100"/>
      <c r="AZ213" s="100"/>
      <c r="BA213" s="100"/>
      <c r="BB213" s="100"/>
      <c r="BC213" s="100"/>
      <c r="BD213" s="96"/>
      <c r="BE213" s="96"/>
      <c r="BF213" s="96"/>
    </row>
    <row r="214" spans="1:58" x14ac:dyDescent="0.25">
      <c r="A214" s="96"/>
      <c r="B214" s="96"/>
      <c r="C214" s="96"/>
      <c r="D214" s="96"/>
      <c r="E214" s="96"/>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c r="AD214" s="100"/>
      <c r="AE214" s="100"/>
      <c r="AF214" s="100"/>
      <c r="AG214" s="100"/>
      <c r="AH214" s="100"/>
      <c r="AI214" s="100"/>
      <c r="AJ214" s="100"/>
      <c r="AK214" s="100"/>
      <c r="AL214" s="100"/>
      <c r="AM214" s="100"/>
      <c r="AN214" s="100"/>
      <c r="AO214" s="100"/>
      <c r="AP214" s="100"/>
      <c r="AQ214" s="100"/>
      <c r="AR214" s="100"/>
      <c r="AS214" s="100"/>
      <c r="AT214" s="100"/>
      <c r="AU214" s="100"/>
      <c r="AV214" s="100"/>
      <c r="AW214" s="100"/>
      <c r="AX214" s="100"/>
      <c r="AY214" s="100"/>
      <c r="AZ214" s="100"/>
      <c r="BA214" s="100"/>
      <c r="BB214" s="100"/>
      <c r="BC214" s="100"/>
      <c r="BD214" s="96"/>
      <c r="BE214" s="96"/>
      <c r="BF214" s="96"/>
    </row>
    <row r="215" spans="1:58" x14ac:dyDescent="0.25">
      <c r="A215" s="96"/>
      <c r="B215" s="96"/>
      <c r="C215" s="96"/>
      <c r="D215" s="96"/>
      <c r="E215" s="96"/>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c r="AD215" s="100"/>
      <c r="AE215" s="100"/>
      <c r="AF215" s="100"/>
      <c r="AG215" s="100"/>
      <c r="AH215" s="100"/>
      <c r="AI215" s="100"/>
      <c r="AJ215" s="100"/>
      <c r="AK215" s="100"/>
      <c r="AL215" s="100"/>
      <c r="AM215" s="100"/>
      <c r="AN215" s="100"/>
      <c r="AO215" s="100"/>
      <c r="AP215" s="100"/>
      <c r="AQ215" s="100"/>
      <c r="AR215" s="100"/>
      <c r="AS215" s="100"/>
      <c r="AT215" s="100"/>
      <c r="AU215" s="100"/>
      <c r="AV215" s="100"/>
      <c r="AW215" s="100"/>
      <c r="AX215" s="100"/>
      <c r="AY215" s="100"/>
      <c r="AZ215" s="100"/>
      <c r="BA215" s="100"/>
      <c r="BB215" s="100"/>
      <c r="BC215" s="100"/>
      <c r="BD215" s="96"/>
      <c r="BE215" s="96"/>
      <c r="BF215" s="96"/>
    </row>
    <row r="216" spans="1:58" x14ac:dyDescent="0.25">
      <c r="A216" s="96"/>
      <c r="B216" s="96"/>
      <c r="C216" s="96"/>
      <c r="D216" s="96"/>
      <c r="E216" s="96"/>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00"/>
      <c r="AN216" s="100"/>
      <c r="AO216" s="100"/>
      <c r="AP216" s="100"/>
      <c r="AQ216" s="100"/>
      <c r="AR216" s="100"/>
      <c r="AS216" s="100"/>
      <c r="AT216" s="100"/>
      <c r="AU216" s="100"/>
      <c r="AV216" s="100"/>
      <c r="AW216" s="100"/>
      <c r="AX216" s="100"/>
      <c r="AY216" s="100"/>
      <c r="AZ216" s="100"/>
      <c r="BA216" s="100"/>
      <c r="BB216" s="100"/>
      <c r="BC216" s="100"/>
      <c r="BD216" s="96"/>
      <c r="BE216" s="96"/>
      <c r="BF216" s="96"/>
    </row>
    <row r="217" spans="1:58" x14ac:dyDescent="0.25">
      <c r="A217" s="96"/>
      <c r="B217" s="96"/>
      <c r="C217" s="96"/>
      <c r="D217" s="96"/>
      <c r="E217" s="96"/>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c r="AD217" s="100"/>
      <c r="AE217" s="100"/>
      <c r="AF217" s="100"/>
      <c r="AG217" s="100"/>
      <c r="AH217" s="100"/>
      <c r="AI217" s="100"/>
      <c r="AJ217" s="100"/>
      <c r="AK217" s="100"/>
      <c r="AL217" s="100"/>
      <c r="AM217" s="100"/>
      <c r="AN217" s="100"/>
      <c r="AO217" s="100"/>
      <c r="AP217" s="100"/>
      <c r="AQ217" s="100"/>
      <c r="AR217" s="100"/>
      <c r="AS217" s="100"/>
      <c r="AT217" s="100"/>
      <c r="AU217" s="100"/>
      <c r="AV217" s="100"/>
      <c r="AW217" s="100"/>
      <c r="AX217" s="100"/>
      <c r="AY217" s="100"/>
      <c r="AZ217" s="100"/>
      <c r="BA217" s="100"/>
      <c r="BB217" s="100"/>
      <c r="BC217" s="100"/>
      <c r="BD217" s="96"/>
      <c r="BE217" s="96"/>
      <c r="BF217" s="96"/>
    </row>
    <row r="218" spans="1:58" x14ac:dyDescent="0.25">
      <c r="A218" s="96"/>
      <c r="B218" s="96"/>
      <c r="C218" s="96"/>
      <c r="D218" s="96"/>
      <c r="E218" s="96"/>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00"/>
      <c r="AN218" s="100"/>
      <c r="AO218" s="100"/>
      <c r="AP218" s="100"/>
      <c r="AQ218" s="100"/>
      <c r="AR218" s="100"/>
      <c r="AS218" s="100"/>
      <c r="AT218" s="100"/>
      <c r="AU218" s="100"/>
      <c r="AV218" s="100"/>
      <c r="AW218" s="100"/>
      <c r="AX218" s="100"/>
      <c r="AY218" s="100"/>
      <c r="AZ218" s="100"/>
      <c r="BA218" s="100"/>
      <c r="BB218" s="100"/>
      <c r="BC218" s="100"/>
      <c r="BD218" s="96"/>
      <c r="BE218" s="96"/>
      <c r="BF218" s="96"/>
    </row>
    <row r="219" spans="1:58" x14ac:dyDescent="0.25">
      <c r="A219" s="96"/>
      <c r="B219" s="96"/>
      <c r="C219" s="96"/>
      <c r="D219" s="96"/>
      <c r="E219" s="96"/>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c r="AD219" s="100"/>
      <c r="AE219" s="100"/>
      <c r="AF219" s="100"/>
      <c r="AG219" s="100"/>
      <c r="AH219" s="100"/>
      <c r="AI219" s="100"/>
      <c r="AJ219" s="100"/>
      <c r="AK219" s="100"/>
      <c r="AL219" s="100"/>
      <c r="AM219" s="100"/>
      <c r="AN219" s="100"/>
      <c r="AO219" s="100"/>
      <c r="AP219" s="100"/>
      <c r="AQ219" s="100"/>
      <c r="AR219" s="100"/>
      <c r="AS219" s="100"/>
      <c r="AT219" s="100"/>
      <c r="AU219" s="100"/>
      <c r="AV219" s="100"/>
      <c r="AW219" s="100"/>
      <c r="AX219" s="100"/>
      <c r="AY219" s="100"/>
      <c r="AZ219" s="100"/>
      <c r="BA219" s="100"/>
      <c r="BB219" s="100"/>
      <c r="BC219" s="100"/>
      <c r="BD219" s="96"/>
      <c r="BE219" s="96"/>
      <c r="BF219" s="96"/>
    </row>
    <row r="220" spans="1:58" x14ac:dyDescent="0.25">
      <c r="A220" s="96"/>
      <c r="B220" s="96"/>
      <c r="C220" s="96"/>
      <c r="D220" s="96"/>
      <c r="E220" s="96"/>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c r="AD220" s="100"/>
      <c r="AE220" s="100"/>
      <c r="AF220" s="100"/>
      <c r="AG220" s="100"/>
      <c r="AH220" s="100"/>
      <c r="AI220" s="100"/>
      <c r="AJ220" s="100"/>
      <c r="AK220" s="100"/>
      <c r="AL220" s="100"/>
      <c r="AM220" s="100"/>
      <c r="AN220" s="100"/>
      <c r="AO220" s="100"/>
      <c r="AP220" s="100"/>
      <c r="AQ220" s="100"/>
      <c r="AR220" s="100"/>
      <c r="AS220" s="100"/>
      <c r="AT220" s="100"/>
      <c r="AU220" s="100"/>
      <c r="AV220" s="100"/>
      <c r="AW220" s="100"/>
      <c r="AX220" s="100"/>
      <c r="AY220" s="100"/>
      <c r="AZ220" s="100"/>
      <c r="BA220" s="100"/>
      <c r="BB220" s="100"/>
      <c r="BC220" s="100"/>
      <c r="BD220" s="96"/>
      <c r="BE220" s="96"/>
      <c r="BF220" s="96"/>
    </row>
    <row r="221" spans="1:58" x14ac:dyDescent="0.25">
      <c r="A221" s="96"/>
      <c r="B221" s="96"/>
      <c r="C221" s="96"/>
      <c r="D221" s="96"/>
      <c r="E221" s="96"/>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c r="AD221" s="100"/>
      <c r="AE221" s="100"/>
      <c r="AF221" s="100"/>
      <c r="AG221" s="100"/>
      <c r="AH221" s="100"/>
      <c r="AI221" s="100"/>
      <c r="AJ221" s="100"/>
      <c r="AK221" s="100"/>
      <c r="AL221" s="100"/>
      <c r="AM221" s="100"/>
      <c r="AN221" s="100"/>
      <c r="AO221" s="100"/>
      <c r="AP221" s="100"/>
      <c r="AQ221" s="100"/>
      <c r="AR221" s="100"/>
      <c r="AS221" s="100"/>
      <c r="AT221" s="100"/>
      <c r="AU221" s="100"/>
      <c r="AV221" s="100"/>
      <c r="AW221" s="100"/>
      <c r="AX221" s="100"/>
      <c r="AY221" s="100"/>
      <c r="AZ221" s="100"/>
      <c r="BA221" s="100"/>
      <c r="BB221" s="100"/>
      <c r="BC221" s="100"/>
      <c r="BD221" s="96"/>
      <c r="BE221" s="96"/>
      <c r="BF221" s="96"/>
    </row>
    <row r="222" spans="1:58" x14ac:dyDescent="0.25">
      <c r="A222" s="96"/>
      <c r="B222" s="96"/>
      <c r="C222" s="96"/>
      <c r="D222" s="96"/>
      <c r="E222" s="96"/>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c r="AG222" s="100"/>
      <c r="AH222" s="100"/>
      <c r="AI222" s="100"/>
      <c r="AJ222" s="100"/>
      <c r="AK222" s="100"/>
      <c r="AL222" s="100"/>
      <c r="AM222" s="100"/>
      <c r="AN222" s="100"/>
      <c r="AO222" s="100"/>
      <c r="AP222" s="100"/>
      <c r="AQ222" s="100"/>
      <c r="AR222" s="100"/>
      <c r="AS222" s="100"/>
      <c r="AT222" s="100"/>
      <c r="AU222" s="100"/>
      <c r="AV222" s="100"/>
      <c r="AW222" s="100"/>
      <c r="AX222" s="100"/>
      <c r="AY222" s="100"/>
      <c r="AZ222" s="100"/>
      <c r="BA222" s="100"/>
      <c r="BB222" s="100"/>
      <c r="BC222" s="100"/>
      <c r="BD222" s="96"/>
      <c r="BE222" s="96"/>
      <c r="BF222" s="96"/>
    </row>
    <row r="223" spans="1:58" x14ac:dyDescent="0.25">
      <c r="A223" s="96"/>
      <c r="B223" s="96"/>
      <c r="C223" s="96"/>
      <c r="D223" s="96"/>
      <c r="E223" s="96"/>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00"/>
      <c r="AN223" s="100"/>
      <c r="AO223" s="100"/>
      <c r="AP223" s="100"/>
      <c r="AQ223" s="100"/>
      <c r="AR223" s="100"/>
      <c r="AS223" s="100"/>
      <c r="AT223" s="100"/>
      <c r="AU223" s="100"/>
      <c r="AV223" s="100"/>
      <c r="AW223" s="100"/>
      <c r="AX223" s="100"/>
      <c r="AY223" s="100"/>
      <c r="AZ223" s="100"/>
      <c r="BA223" s="100"/>
      <c r="BB223" s="100"/>
      <c r="BC223" s="100"/>
      <c r="BD223" s="96"/>
      <c r="BE223" s="96"/>
      <c r="BF223" s="96"/>
    </row>
    <row r="224" spans="1:58" x14ac:dyDescent="0.25">
      <c r="A224" s="96"/>
      <c r="B224" s="96"/>
      <c r="C224" s="96"/>
      <c r="D224" s="96"/>
      <c r="E224" s="96"/>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0"/>
      <c r="AD224" s="100"/>
      <c r="AE224" s="100"/>
      <c r="AF224" s="100"/>
      <c r="AG224" s="100"/>
      <c r="AH224" s="100"/>
      <c r="AI224" s="100"/>
      <c r="AJ224" s="100"/>
      <c r="AK224" s="100"/>
      <c r="AL224" s="100"/>
      <c r="AM224" s="100"/>
      <c r="AN224" s="100"/>
      <c r="AO224" s="100"/>
      <c r="AP224" s="100"/>
      <c r="AQ224" s="100"/>
      <c r="AR224" s="100"/>
      <c r="AS224" s="100"/>
      <c r="AT224" s="100"/>
      <c r="AU224" s="100"/>
      <c r="AV224" s="100"/>
      <c r="AW224" s="100"/>
      <c r="AX224" s="100"/>
      <c r="AY224" s="100"/>
      <c r="AZ224" s="100"/>
      <c r="BA224" s="100"/>
      <c r="BB224" s="100"/>
      <c r="BC224" s="100"/>
      <c r="BD224" s="96"/>
      <c r="BE224" s="96"/>
      <c r="BF224" s="96"/>
    </row>
    <row r="225" spans="1:58" x14ac:dyDescent="0.25">
      <c r="A225" s="96"/>
      <c r="B225" s="96"/>
      <c r="C225" s="96"/>
      <c r="D225" s="96"/>
      <c r="E225" s="96"/>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c r="AD225" s="100"/>
      <c r="AE225" s="100"/>
      <c r="AF225" s="100"/>
      <c r="AG225" s="100"/>
      <c r="AH225" s="100"/>
      <c r="AI225" s="100"/>
      <c r="AJ225" s="100"/>
      <c r="AK225" s="100"/>
      <c r="AL225" s="100"/>
      <c r="AM225" s="100"/>
      <c r="AN225" s="100"/>
      <c r="AO225" s="100"/>
      <c r="AP225" s="100"/>
      <c r="AQ225" s="100"/>
      <c r="AR225" s="100"/>
      <c r="AS225" s="100"/>
      <c r="AT225" s="100"/>
      <c r="AU225" s="100"/>
      <c r="AV225" s="100"/>
      <c r="AW225" s="100"/>
      <c r="AX225" s="100"/>
      <c r="AY225" s="100"/>
      <c r="AZ225" s="100"/>
      <c r="BA225" s="100"/>
      <c r="BB225" s="100"/>
      <c r="BC225" s="100"/>
      <c r="BD225" s="96"/>
      <c r="BE225" s="96"/>
      <c r="BF225" s="96"/>
    </row>
    <row r="226" spans="1:58" x14ac:dyDescent="0.25">
      <c r="A226" s="96"/>
      <c r="B226" s="96"/>
      <c r="C226" s="96"/>
      <c r="D226" s="96"/>
      <c r="E226" s="96"/>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c r="AD226" s="100"/>
      <c r="AE226" s="100"/>
      <c r="AF226" s="100"/>
      <c r="AG226" s="100"/>
      <c r="AH226" s="100"/>
      <c r="AI226" s="100"/>
      <c r="AJ226" s="100"/>
      <c r="AK226" s="100"/>
      <c r="AL226" s="100"/>
      <c r="AM226" s="100"/>
      <c r="AN226" s="100"/>
      <c r="AO226" s="100"/>
      <c r="AP226" s="100"/>
      <c r="AQ226" s="100"/>
      <c r="AR226" s="100"/>
      <c r="AS226" s="100"/>
      <c r="AT226" s="100"/>
      <c r="AU226" s="100"/>
      <c r="AV226" s="100"/>
      <c r="AW226" s="100"/>
      <c r="AX226" s="100"/>
      <c r="AY226" s="100"/>
      <c r="AZ226" s="100"/>
      <c r="BA226" s="100"/>
      <c r="BB226" s="100"/>
      <c r="BC226" s="100"/>
      <c r="BD226" s="96"/>
      <c r="BE226" s="96"/>
      <c r="BF226" s="96"/>
    </row>
    <row r="227" spans="1:58" x14ac:dyDescent="0.25">
      <c r="A227" s="96"/>
      <c r="B227" s="96"/>
      <c r="C227" s="96"/>
      <c r="D227" s="96"/>
      <c r="E227" s="96"/>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c r="AD227" s="100"/>
      <c r="AE227" s="100"/>
      <c r="AF227" s="100"/>
      <c r="AG227" s="100"/>
      <c r="AH227" s="100"/>
      <c r="AI227" s="100"/>
      <c r="AJ227" s="100"/>
      <c r="AK227" s="100"/>
      <c r="AL227" s="100"/>
      <c r="AM227" s="100"/>
      <c r="AN227" s="100"/>
      <c r="AO227" s="100"/>
      <c r="AP227" s="100"/>
      <c r="AQ227" s="100"/>
      <c r="AR227" s="100"/>
      <c r="AS227" s="100"/>
      <c r="AT227" s="100"/>
      <c r="AU227" s="100"/>
      <c r="AV227" s="100"/>
      <c r="AW227" s="100"/>
      <c r="AX227" s="100"/>
      <c r="AY227" s="100"/>
      <c r="AZ227" s="100"/>
      <c r="BA227" s="100"/>
      <c r="BB227" s="100"/>
      <c r="BC227" s="100"/>
      <c r="BD227" s="96"/>
      <c r="BE227" s="96"/>
      <c r="BF227" s="96"/>
    </row>
    <row r="228" spans="1:58" x14ac:dyDescent="0.25">
      <c r="A228" s="96"/>
      <c r="B228" s="96"/>
      <c r="C228" s="96"/>
      <c r="D228" s="96"/>
      <c r="E228" s="96"/>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0"/>
      <c r="AY228" s="100"/>
      <c r="AZ228" s="100"/>
      <c r="BA228" s="100"/>
      <c r="BB228" s="100"/>
      <c r="BC228" s="100"/>
      <c r="BD228" s="96"/>
      <c r="BE228" s="96"/>
      <c r="BF228" s="96"/>
    </row>
    <row r="229" spans="1:58" x14ac:dyDescent="0.25">
      <c r="A229" s="96"/>
      <c r="B229" s="96"/>
      <c r="C229" s="96"/>
      <c r="D229" s="96"/>
      <c r="E229" s="96"/>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c r="AX229" s="100"/>
      <c r="AY229" s="100"/>
      <c r="AZ229" s="100"/>
      <c r="BA229" s="100"/>
      <c r="BB229" s="100"/>
      <c r="BC229" s="100"/>
      <c r="BD229" s="96"/>
      <c r="BE229" s="96"/>
      <c r="BF229" s="96"/>
    </row>
    <row r="230" spans="1:58" x14ac:dyDescent="0.25">
      <c r="A230" s="96"/>
      <c r="B230" s="96"/>
      <c r="C230" s="96"/>
      <c r="D230" s="96"/>
      <c r="E230" s="96"/>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0"/>
      <c r="AY230" s="100"/>
      <c r="AZ230" s="100"/>
      <c r="BA230" s="100"/>
      <c r="BB230" s="100"/>
      <c r="BC230" s="100"/>
      <c r="BD230" s="96"/>
      <c r="BE230" s="96"/>
      <c r="BF230" s="96"/>
    </row>
    <row r="231" spans="1:58" x14ac:dyDescent="0.25">
      <c r="A231" s="96"/>
      <c r="B231" s="96"/>
      <c r="C231" s="96"/>
      <c r="D231" s="96"/>
      <c r="E231" s="96"/>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c r="AD231" s="100"/>
      <c r="AE231" s="100"/>
      <c r="AF231" s="100"/>
      <c r="AG231" s="100"/>
      <c r="AH231" s="100"/>
      <c r="AI231" s="100"/>
      <c r="AJ231" s="100"/>
      <c r="AK231" s="100"/>
      <c r="AL231" s="100"/>
      <c r="AM231" s="100"/>
      <c r="AN231" s="100"/>
      <c r="AO231" s="100"/>
      <c r="AP231" s="100"/>
      <c r="AQ231" s="100"/>
      <c r="AR231" s="100"/>
      <c r="AS231" s="100"/>
      <c r="AT231" s="100"/>
      <c r="AU231" s="100"/>
      <c r="AV231" s="100"/>
      <c r="AW231" s="100"/>
      <c r="AX231" s="100"/>
      <c r="AY231" s="100"/>
      <c r="AZ231" s="100"/>
      <c r="BA231" s="100"/>
      <c r="BB231" s="100"/>
      <c r="BC231" s="100"/>
      <c r="BD231" s="96"/>
      <c r="BE231" s="96"/>
      <c r="BF231" s="96"/>
    </row>
    <row r="232" spans="1:58" x14ac:dyDescent="0.25">
      <c r="A232" s="96"/>
      <c r="B232" s="96"/>
      <c r="C232" s="96"/>
      <c r="D232" s="96"/>
      <c r="E232" s="96"/>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c r="AH232" s="100"/>
      <c r="AI232" s="100"/>
      <c r="AJ232" s="100"/>
      <c r="AK232" s="100"/>
      <c r="AL232" s="100"/>
      <c r="AM232" s="100"/>
      <c r="AN232" s="100"/>
      <c r="AO232" s="100"/>
      <c r="AP232" s="100"/>
      <c r="AQ232" s="100"/>
      <c r="AR232" s="100"/>
      <c r="AS232" s="100"/>
      <c r="AT232" s="100"/>
      <c r="AU232" s="100"/>
      <c r="AV232" s="100"/>
      <c r="AW232" s="100"/>
      <c r="AX232" s="100"/>
      <c r="AY232" s="100"/>
      <c r="AZ232" s="100"/>
      <c r="BA232" s="100"/>
      <c r="BB232" s="100"/>
      <c r="BC232" s="100"/>
      <c r="BD232" s="96"/>
      <c r="BE232" s="96"/>
      <c r="BF232" s="96"/>
    </row>
    <row r="233" spans="1:58" x14ac:dyDescent="0.25">
      <c r="A233" s="96"/>
      <c r="B233" s="96"/>
      <c r="C233" s="96"/>
      <c r="D233" s="96"/>
      <c r="E233" s="96"/>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c r="AD233" s="100"/>
      <c r="AE233" s="100"/>
      <c r="AF233" s="100"/>
      <c r="AG233" s="100"/>
      <c r="AH233" s="100"/>
      <c r="AI233" s="100"/>
      <c r="AJ233" s="100"/>
      <c r="AK233" s="100"/>
      <c r="AL233" s="100"/>
      <c r="AM233" s="100"/>
      <c r="AN233" s="100"/>
      <c r="AO233" s="100"/>
      <c r="AP233" s="100"/>
      <c r="AQ233" s="100"/>
      <c r="AR233" s="100"/>
      <c r="AS233" s="100"/>
      <c r="AT233" s="100"/>
      <c r="AU233" s="100"/>
      <c r="AV233" s="100"/>
      <c r="AW233" s="100"/>
      <c r="AX233" s="100"/>
      <c r="AY233" s="100"/>
      <c r="AZ233" s="100"/>
      <c r="BA233" s="100"/>
      <c r="BB233" s="100"/>
      <c r="BC233" s="100"/>
      <c r="BD233" s="96"/>
      <c r="BE233" s="96"/>
      <c r="BF233" s="96"/>
    </row>
    <row r="234" spans="1:58" x14ac:dyDescent="0.25">
      <c r="A234" s="96"/>
      <c r="B234" s="96"/>
      <c r="C234" s="96"/>
      <c r="D234" s="96"/>
      <c r="E234" s="96"/>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0"/>
      <c r="AD234" s="100"/>
      <c r="AE234" s="100"/>
      <c r="AF234" s="100"/>
      <c r="AG234" s="100"/>
      <c r="AH234" s="100"/>
      <c r="AI234" s="100"/>
      <c r="AJ234" s="100"/>
      <c r="AK234" s="100"/>
      <c r="AL234" s="100"/>
      <c r="AM234" s="100"/>
      <c r="AN234" s="100"/>
      <c r="AO234" s="100"/>
      <c r="AP234" s="100"/>
      <c r="AQ234" s="100"/>
      <c r="AR234" s="100"/>
      <c r="AS234" s="100"/>
      <c r="AT234" s="100"/>
      <c r="AU234" s="100"/>
      <c r="AV234" s="100"/>
      <c r="AW234" s="100"/>
      <c r="AX234" s="100"/>
      <c r="AY234" s="100"/>
      <c r="AZ234" s="100"/>
      <c r="BA234" s="100"/>
      <c r="BB234" s="100"/>
      <c r="BC234" s="100"/>
      <c r="BD234" s="96"/>
      <c r="BE234" s="96"/>
      <c r="BF234" s="96"/>
    </row>
    <row r="235" spans="1:58" x14ac:dyDescent="0.25">
      <c r="A235" s="96"/>
      <c r="B235" s="96"/>
      <c r="C235" s="96"/>
      <c r="D235" s="96"/>
      <c r="E235" s="96"/>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c r="AD235" s="100"/>
      <c r="AE235" s="100"/>
      <c r="AF235" s="100"/>
      <c r="AG235" s="100"/>
      <c r="AH235" s="100"/>
      <c r="AI235" s="100"/>
      <c r="AJ235" s="100"/>
      <c r="AK235" s="100"/>
      <c r="AL235" s="100"/>
      <c r="AM235" s="100"/>
      <c r="AN235" s="100"/>
      <c r="AO235" s="100"/>
      <c r="AP235" s="100"/>
      <c r="AQ235" s="100"/>
      <c r="AR235" s="100"/>
      <c r="AS235" s="100"/>
      <c r="AT235" s="100"/>
      <c r="AU235" s="100"/>
      <c r="AV235" s="100"/>
      <c r="AW235" s="100"/>
      <c r="AX235" s="100"/>
      <c r="AY235" s="100"/>
      <c r="AZ235" s="100"/>
      <c r="BA235" s="100"/>
      <c r="BB235" s="100"/>
      <c r="BC235" s="100"/>
      <c r="BD235" s="96"/>
      <c r="BE235" s="96"/>
      <c r="BF235" s="96"/>
    </row>
    <row r="236" spans="1:58" x14ac:dyDescent="0.25">
      <c r="A236" s="96"/>
      <c r="B236" s="96"/>
      <c r="C236" s="96"/>
      <c r="D236" s="96"/>
      <c r="E236" s="96"/>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c r="AD236" s="100"/>
      <c r="AE236" s="100"/>
      <c r="AF236" s="100"/>
      <c r="AG236" s="100"/>
      <c r="AH236" s="100"/>
      <c r="AI236" s="100"/>
      <c r="AJ236" s="100"/>
      <c r="AK236" s="100"/>
      <c r="AL236" s="100"/>
      <c r="AM236" s="100"/>
      <c r="AN236" s="100"/>
      <c r="AO236" s="100"/>
      <c r="AP236" s="100"/>
      <c r="AQ236" s="100"/>
      <c r="AR236" s="100"/>
      <c r="AS236" s="100"/>
      <c r="AT236" s="100"/>
      <c r="AU236" s="100"/>
      <c r="AV236" s="100"/>
      <c r="AW236" s="100"/>
      <c r="AX236" s="100"/>
      <c r="AY236" s="100"/>
      <c r="AZ236" s="100"/>
      <c r="BA236" s="100"/>
      <c r="BB236" s="100"/>
      <c r="BC236" s="100"/>
      <c r="BD236" s="96"/>
      <c r="BE236" s="96"/>
      <c r="BF236" s="96"/>
    </row>
    <row r="237" spans="1:58" x14ac:dyDescent="0.25">
      <c r="A237" s="96"/>
      <c r="B237" s="96"/>
      <c r="C237" s="96"/>
      <c r="D237" s="96"/>
      <c r="E237" s="96"/>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0"/>
      <c r="AD237" s="100"/>
      <c r="AE237" s="100"/>
      <c r="AF237" s="100"/>
      <c r="AG237" s="100"/>
      <c r="AH237" s="100"/>
      <c r="AI237" s="100"/>
      <c r="AJ237" s="100"/>
      <c r="AK237" s="100"/>
      <c r="AL237" s="100"/>
      <c r="AM237" s="100"/>
      <c r="AN237" s="100"/>
      <c r="AO237" s="100"/>
      <c r="AP237" s="100"/>
      <c r="AQ237" s="100"/>
      <c r="AR237" s="100"/>
      <c r="AS237" s="100"/>
      <c r="AT237" s="100"/>
      <c r="AU237" s="100"/>
      <c r="AV237" s="100"/>
      <c r="AW237" s="100"/>
      <c r="AX237" s="100"/>
      <c r="AY237" s="100"/>
      <c r="AZ237" s="100"/>
      <c r="BA237" s="100"/>
      <c r="BB237" s="100"/>
      <c r="BC237" s="100"/>
      <c r="BD237" s="96"/>
      <c r="BE237" s="96"/>
      <c r="BF237" s="96"/>
    </row>
    <row r="238" spans="1:58" x14ac:dyDescent="0.25">
      <c r="A238" s="96"/>
      <c r="B238" s="96"/>
      <c r="C238" s="96"/>
      <c r="D238" s="96"/>
      <c r="E238" s="96"/>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c r="AD238" s="100"/>
      <c r="AE238" s="100"/>
      <c r="AF238" s="100"/>
      <c r="AG238" s="100"/>
      <c r="AH238" s="100"/>
      <c r="AI238" s="100"/>
      <c r="AJ238" s="100"/>
      <c r="AK238" s="100"/>
      <c r="AL238" s="100"/>
      <c r="AM238" s="100"/>
      <c r="AN238" s="100"/>
      <c r="AO238" s="100"/>
      <c r="AP238" s="100"/>
      <c r="AQ238" s="100"/>
      <c r="AR238" s="100"/>
      <c r="AS238" s="100"/>
      <c r="AT238" s="100"/>
      <c r="AU238" s="100"/>
      <c r="AV238" s="100"/>
      <c r="AW238" s="100"/>
      <c r="AX238" s="100"/>
      <c r="AY238" s="100"/>
      <c r="AZ238" s="100"/>
      <c r="BA238" s="100"/>
      <c r="BB238" s="100"/>
      <c r="BC238" s="100"/>
      <c r="BD238" s="96"/>
      <c r="BE238" s="96"/>
      <c r="BF238" s="96"/>
    </row>
    <row r="239" spans="1:58" x14ac:dyDescent="0.25">
      <c r="A239" s="96"/>
      <c r="B239" s="96"/>
      <c r="C239" s="96"/>
      <c r="D239" s="96"/>
      <c r="E239" s="96"/>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c r="AG239" s="100"/>
      <c r="AH239" s="100"/>
      <c r="AI239" s="100"/>
      <c r="AJ239" s="100"/>
      <c r="AK239" s="100"/>
      <c r="AL239" s="100"/>
      <c r="AM239" s="100"/>
      <c r="AN239" s="100"/>
      <c r="AO239" s="100"/>
      <c r="AP239" s="100"/>
      <c r="AQ239" s="100"/>
      <c r="AR239" s="100"/>
      <c r="AS239" s="100"/>
      <c r="AT239" s="100"/>
      <c r="AU239" s="100"/>
      <c r="AV239" s="100"/>
      <c r="AW239" s="100"/>
      <c r="AX239" s="100"/>
      <c r="AY239" s="100"/>
      <c r="AZ239" s="100"/>
      <c r="BA239" s="100"/>
      <c r="BB239" s="100"/>
      <c r="BC239" s="100"/>
      <c r="BD239" s="96"/>
      <c r="BE239" s="96"/>
      <c r="BF239" s="96"/>
    </row>
    <row r="240" spans="1:58" x14ac:dyDescent="0.25">
      <c r="A240" s="96"/>
      <c r="B240" s="96"/>
      <c r="C240" s="96"/>
      <c r="D240" s="96"/>
      <c r="E240" s="96"/>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c r="AD240" s="100"/>
      <c r="AE240" s="100"/>
      <c r="AF240" s="100"/>
      <c r="AG240" s="100"/>
      <c r="AH240" s="100"/>
      <c r="AI240" s="100"/>
      <c r="AJ240" s="100"/>
      <c r="AK240" s="100"/>
      <c r="AL240" s="100"/>
      <c r="AM240" s="100"/>
      <c r="AN240" s="100"/>
      <c r="AO240" s="100"/>
      <c r="AP240" s="100"/>
      <c r="AQ240" s="100"/>
      <c r="AR240" s="100"/>
      <c r="AS240" s="100"/>
      <c r="AT240" s="100"/>
      <c r="AU240" s="100"/>
      <c r="AV240" s="100"/>
      <c r="AW240" s="100"/>
      <c r="AX240" s="100"/>
      <c r="AY240" s="100"/>
      <c r="AZ240" s="100"/>
      <c r="BA240" s="100"/>
      <c r="BB240" s="100"/>
      <c r="BC240" s="100"/>
      <c r="BD240" s="96"/>
      <c r="BE240" s="96"/>
      <c r="BF240" s="96"/>
    </row>
    <row r="241" spans="1:58" x14ac:dyDescent="0.25">
      <c r="A241" s="96"/>
      <c r="B241" s="96"/>
      <c r="C241" s="96"/>
      <c r="D241" s="96"/>
      <c r="E241" s="96"/>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c r="AD241" s="100"/>
      <c r="AE241" s="100"/>
      <c r="AF241" s="100"/>
      <c r="AG241" s="100"/>
      <c r="AH241" s="100"/>
      <c r="AI241" s="100"/>
      <c r="AJ241" s="100"/>
      <c r="AK241" s="100"/>
      <c r="AL241" s="100"/>
      <c r="AM241" s="100"/>
      <c r="AN241" s="100"/>
      <c r="AO241" s="100"/>
      <c r="AP241" s="100"/>
      <c r="AQ241" s="100"/>
      <c r="AR241" s="100"/>
      <c r="AS241" s="100"/>
      <c r="AT241" s="100"/>
      <c r="AU241" s="100"/>
      <c r="AV241" s="100"/>
      <c r="AW241" s="100"/>
      <c r="AX241" s="100"/>
      <c r="AY241" s="100"/>
      <c r="AZ241" s="100"/>
      <c r="BA241" s="100"/>
      <c r="BB241" s="100"/>
      <c r="BC241" s="100"/>
      <c r="BD241" s="96"/>
      <c r="BE241" s="96"/>
      <c r="BF241" s="96"/>
    </row>
    <row r="242" spans="1:58" x14ac:dyDescent="0.25">
      <c r="A242" s="96"/>
      <c r="B242" s="96"/>
      <c r="C242" s="96"/>
      <c r="D242" s="96"/>
      <c r="E242" s="96"/>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0"/>
      <c r="AD242" s="100"/>
      <c r="AE242" s="100"/>
      <c r="AF242" s="100"/>
      <c r="AG242" s="100"/>
      <c r="AH242" s="100"/>
      <c r="AI242" s="100"/>
      <c r="AJ242" s="100"/>
      <c r="AK242" s="100"/>
      <c r="AL242" s="100"/>
      <c r="AM242" s="100"/>
      <c r="AN242" s="100"/>
      <c r="AO242" s="100"/>
      <c r="AP242" s="100"/>
      <c r="AQ242" s="100"/>
      <c r="AR242" s="100"/>
      <c r="AS242" s="100"/>
      <c r="AT242" s="100"/>
      <c r="AU242" s="100"/>
      <c r="AV242" s="100"/>
      <c r="AW242" s="100"/>
      <c r="AX242" s="100"/>
      <c r="AY242" s="100"/>
      <c r="AZ242" s="100"/>
      <c r="BA242" s="100"/>
      <c r="BB242" s="100"/>
      <c r="BC242" s="100"/>
      <c r="BD242" s="96"/>
      <c r="BE242" s="96"/>
      <c r="BF242" s="96"/>
    </row>
    <row r="243" spans="1:58" x14ac:dyDescent="0.25">
      <c r="A243" s="96"/>
      <c r="B243" s="96"/>
      <c r="C243" s="96"/>
      <c r="D243" s="96"/>
      <c r="E243" s="96"/>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0"/>
      <c r="AD243" s="100"/>
      <c r="AE243" s="100"/>
      <c r="AF243" s="100"/>
      <c r="AG243" s="100"/>
      <c r="AH243" s="100"/>
      <c r="AI243" s="100"/>
      <c r="AJ243" s="100"/>
      <c r="AK243" s="100"/>
      <c r="AL243" s="100"/>
      <c r="AM243" s="100"/>
      <c r="AN243" s="100"/>
      <c r="AO243" s="100"/>
      <c r="AP243" s="100"/>
      <c r="AQ243" s="100"/>
      <c r="AR243" s="100"/>
      <c r="AS243" s="100"/>
      <c r="AT243" s="100"/>
      <c r="AU243" s="100"/>
      <c r="AV243" s="100"/>
      <c r="AW243" s="100"/>
      <c r="AX243" s="100"/>
      <c r="AY243" s="100"/>
      <c r="AZ243" s="100"/>
      <c r="BA243" s="100"/>
      <c r="BB243" s="100"/>
      <c r="BC243" s="100"/>
      <c r="BD243" s="96"/>
      <c r="BE243" s="96"/>
      <c r="BF243" s="96"/>
    </row>
    <row r="244" spans="1:58" x14ac:dyDescent="0.25">
      <c r="A244" s="96"/>
      <c r="B244" s="96"/>
      <c r="C244" s="96"/>
      <c r="D244" s="96"/>
      <c r="E244" s="96"/>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0"/>
      <c r="AD244" s="100"/>
      <c r="AE244" s="100"/>
      <c r="AF244" s="100"/>
      <c r="AG244" s="100"/>
      <c r="AH244" s="100"/>
      <c r="AI244" s="100"/>
      <c r="AJ244" s="100"/>
      <c r="AK244" s="100"/>
      <c r="AL244" s="100"/>
      <c r="AM244" s="100"/>
      <c r="AN244" s="100"/>
      <c r="AO244" s="100"/>
      <c r="AP244" s="100"/>
      <c r="AQ244" s="100"/>
      <c r="AR244" s="100"/>
      <c r="AS244" s="100"/>
      <c r="AT244" s="100"/>
      <c r="AU244" s="100"/>
      <c r="AV244" s="100"/>
      <c r="AW244" s="100"/>
      <c r="AX244" s="100"/>
      <c r="AY244" s="100"/>
      <c r="AZ244" s="100"/>
      <c r="BA244" s="100"/>
      <c r="BB244" s="100"/>
      <c r="BC244" s="100"/>
      <c r="BD244" s="96"/>
      <c r="BE244" s="96"/>
      <c r="BF244" s="96"/>
    </row>
    <row r="245" spans="1:58" x14ac:dyDescent="0.25">
      <c r="A245" s="96"/>
      <c r="B245" s="96"/>
      <c r="C245" s="96"/>
      <c r="D245" s="96"/>
      <c r="E245" s="96"/>
      <c r="F245" s="100"/>
      <c r="G245" s="100"/>
      <c r="H245" s="100"/>
      <c r="I245" s="100"/>
      <c r="J245" s="100"/>
      <c r="K245" s="100"/>
      <c r="L245" s="100"/>
      <c r="M245" s="100"/>
      <c r="N245" s="100"/>
      <c r="O245" s="100"/>
      <c r="P245" s="100"/>
      <c r="Q245" s="100"/>
      <c r="R245" s="100"/>
      <c r="S245" s="100"/>
      <c r="T245" s="100"/>
      <c r="U245" s="100"/>
      <c r="V245" s="100"/>
      <c r="W245" s="100"/>
      <c r="X245" s="100"/>
      <c r="Y245" s="100"/>
      <c r="Z245" s="100"/>
      <c r="AA245" s="100"/>
      <c r="AB245" s="100"/>
      <c r="AC245" s="100"/>
      <c r="AD245" s="100"/>
      <c r="AE245" s="100"/>
      <c r="AF245" s="100"/>
      <c r="AG245" s="100"/>
      <c r="AH245" s="100"/>
      <c r="AI245" s="100"/>
      <c r="AJ245" s="100"/>
      <c r="AK245" s="100"/>
      <c r="AL245" s="100"/>
      <c r="AM245" s="100"/>
      <c r="AN245" s="100"/>
      <c r="AO245" s="100"/>
      <c r="AP245" s="100"/>
      <c r="AQ245" s="100"/>
      <c r="AR245" s="100"/>
      <c r="AS245" s="100"/>
      <c r="AT245" s="100"/>
      <c r="AU245" s="100"/>
      <c r="AV245" s="100"/>
      <c r="AW245" s="100"/>
      <c r="AX245" s="100"/>
      <c r="AY245" s="100"/>
      <c r="AZ245" s="100"/>
      <c r="BA245" s="100"/>
      <c r="BB245" s="100"/>
      <c r="BC245" s="100"/>
      <c r="BD245" s="96"/>
      <c r="BE245" s="96"/>
      <c r="BF245" s="96"/>
    </row>
    <row r="246" spans="1:58" x14ac:dyDescent="0.25">
      <c r="A246" s="96"/>
      <c r="B246" s="96"/>
      <c r="C246" s="96"/>
      <c r="D246" s="96"/>
      <c r="E246" s="96"/>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0"/>
      <c r="AB246" s="100"/>
      <c r="AC246" s="100"/>
      <c r="AD246" s="100"/>
      <c r="AE246" s="100"/>
      <c r="AF246" s="100"/>
      <c r="AG246" s="100"/>
      <c r="AH246" s="100"/>
      <c r="AI246" s="100"/>
      <c r="AJ246" s="100"/>
      <c r="AK246" s="100"/>
      <c r="AL246" s="100"/>
      <c r="AM246" s="100"/>
      <c r="AN246" s="100"/>
      <c r="AO246" s="100"/>
      <c r="AP246" s="100"/>
      <c r="AQ246" s="100"/>
      <c r="AR246" s="100"/>
      <c r="AS246" s="100"/>
      <c r="AT246" s="100"/>
      <c r="AU246" s="100"/>
      <c r="AV246" s="100"/>
      <c r="AW246" s="100"/>
      <c r="AX246" s="100"/>
      <c r="AY246" s="100"/>
      <c r="AZ246" s="100"/>
      <c r="BA246" s="100"/>
      <c r="BB246" s="100"/>
      <c r="BC246" s="100"/>
      <c r="BD246" s="96"/>
      <c r="BE246" s="96"/>
      <c r="BF246" s="96"/>
    </row>
    <row r="247" spans="1:58" x14ac:dyDescent="0.25">
      <c r="A247" s="96"/>
      <c r="B247" s="96"/>
      <c r="C247" s="96"/>
      <c r="D247" s="96"/>
      <c r="E247" s="96"/>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0"/>
      <c r="AB247" s="100"/>
      <c r="AC247" s="100"/>
      <c r="AD247" s="100"/>
      <c r="AE247" s="100"/>
      <c r="AF247" s="100"/>
      <c r="AG247" s="100"/>
      <c r="AH247" s="100"/>
      <c r="AI247" s="100"/>
      <c r="AJ247" s="100"/>
      <c r="AK247" s="100"/>
      <c r="AL247" s="100"/>
      <c r="AM247" s="100"/>
      <c r="AN247" s="100"/>
      <c r="AO247" s="100"/>
      <c r="AP247" s="100"/>
      <c r="AQ247" s="100"/>
      <c r="AR247" s="100"/>
      <c r="AS247" s="100"/>
      <c r="AT247" s="100"/>
      <c r="AU247" s="100"/>
      <c r="AV247" s="100"/>
      <c r="AW247" s="100"/>
      <c r="AX247" s="100"/>
      <c r="AY247" s="100"/>
      <c r="AZ247" s="100"/>
      <c r="BA247" s="100"/>
      <c r="BB247" s="100"/>
      <c r="BC247" s="100"/>
      <c r="BD247" s="96"/>
      <c r="BE247" s="96"/>
      <c r="BF247" s="96"/>
    </row>
  </sheetData>
  <mergeCells count="2461">
    <mergeCell ref="N89:N90"/>
    <mergeCell ref="N93:N94"/>
    <mergeCell ref="N77:N78"/>
    <mergeCell ref="N73:N74"/>
    <mergeCell ref="N71:N72"/>
    <mergeCell ref="N60:N61"/>
    <mergeCell ref="N56:N57"/>
    <mergeCell ref="N44:N45"/>
    <mergeCell ref="N40:N41"/>
    <mergeCell ref="N38:N39"/>
    <mergeCell ref="N34:N35"/>
    <mergeCell ref="N30:N31"/>
    <mergeCell ref="N26:N27"/>
    <mergeCell ref="N24:N25"/>
    <mergeCell ref="N18:N19"/>
    <mergeCell ref="N14:N15"/>
    <mergeCell ref="N10:N11"/>
    <mergeCell ref="N16:N17"/>
    <mergeCell ref="N91:N92"/>
    <mergeCell ref="O18:O19"/>
    <mergeCell ref="P18:P19"/>
    <mergeCell ref="O24:O25"/>
    <mergeCell ref="O71:O72"/>
    <mergeCell ref="O89:O90"/>
    <mergeCell ref="P24:P25"/>
    <mergeCell ref="P71:P72"/>
    <mergeCell ref="P89:P90"/>
    <mergeCell ref="O77:O78"/>
    <mergeCell ref="P77:P78"/>
    <mergeCell ref="P73:P74"/>
    <mergeCell ref="O73:O74"/>
    <mergeCell ref="O60:O61"/>
    <mergeCell ref="P60:P61"/>
    <mergeCell ref="O34:O35"/>
    <mergeCell ref="P34:P35"/>
    <mergeCell ref="O30:O31"/>
    <mergeCell ref="P30:P31"/>
    <mergeCell ref="O26:O27"/>
    <mergeCell ref="P26:P27"/>
    <mergeCell ref="O28:O29"/>
    <mergeCell ref="P28:P29"/>
    <mergeCell ref="L73:L74"/>
    <mergeCell ref="L89:L90"/>
    <mergeCell ref="M24:M25"/>
    <mergeCell ref="M26:M27"/>
    <mergeCell ref="M71:M72"/>
    <mergeCell ref="M73:M74"/>
    <mergeCell ref="M89:M90"/>
    <mergeCell ref="L93:L94"/>
    <mergeCell ref="M93:M94"/>
    <mergeCell ref="L77:L78"/>
    <mergeCell ref="M77:M78"/>
    <mergeCell ref="L60:L61"/>
    <mergeCell ref="M60:M61"/>
    <mergeCell ref="L34:L35"/>
    <mergeCell ref="M34:M35"/>
    <mergeCell ref="L30:L31"/>
    <mergeCell ref="M30:M31"/>
    <mergeCell ref="L38:L39"/>
    <mergeCell ref="L40:L41"/>
    <mergeCell ref="L56:L57"/>
    <mergeCell ref="A48:BD49"/>
    <mergeCell ref="R50:R51"/>
    <mergeCell ref="S50:S51"/>
    <mergeCell ref="T50:T51"/>
    <mergeCell ref="U50:U51"/>
    <mergeCell ref="V50:V51"/>
    <mergeCell ref="R52:R53"/>
    <mergeCell ref="S52:S53"/>
    <mergeCell ref="T52:T53"/>
    <mergeCell ref="U52:U53"/>
    <mergeCell ref="K50:K53"/>
    <mergeCell ref="L50:L51"/>
    <mergeCell ref="L71:L72"/>
    <mergeCell ref="A4:E4"/>
    <mergeCell ref="A5:A7"/>
    <mergeCell ref="D5:D7"/>
    <mergeCell ref="E5:E7"/>
    <mergeCell ref="F5:F7"/>
    <mergeCell ref="G5:G7"/>
    <mergeCell ref="A12:A13"/>
    <mergeCell ref="D12:D13"/>
    <mergeCell ref="E12:E13"/>
    <mergeCell ref="F12:F13"/>
    <mergeCell ref="G12:G13"/>
    <mergeCell ref="H12:H13"/>
    <mergeCell ref="I16:I17"/>
    <mergeCell ref="J16:J17"/>
    <mergeCell ref="L16:L17"/>
    <mergeCell ref="M16:M17"/>
    <mergeCell ref="A46:A47"/>
    <mergeCell ref="D46:D47"/>
    <mergeCell ref="J12:J13"/>
    <mergeCell ref="L12:L13"/>
    <mergeCell ref="A18:A19"/>
    <mergeCell ref="D18:D19"/>
    <mergeCell ref="E18:E19"/>
    <mergeCell ref="AK5:AK7"/>
    <mergeCell ref="X5:X7"/>
    <mergeCell ref="Y5:Y7"/>
    <mergeCell ref="Z5:Z7"/>
    <mergeCell ref="AA5:AA7"/>
    <mergeCell ref="AB5:AB7"/>
    <mergeCell ref="AD5:AD7"/>
    <mergeCell ref="P5:P7"/>
    <mergeCell ref="R5:R7"/>
    <mergeCell ref="S5:S7"/>
    <mergeCell ref="M56:M57"/>
    <mergeCell ref="M38:M39"/>
    <mergeCell ref="M40:M41"/>
    <mergeCell ref="L14:L15"/>
    <mergeCell ref="L44:L45"/>
    <mergeCell ref="M14:M15"/>
    <mergeCell ref="M44:M45"/>
    <mergeCell ref="L18:L19"/>
    <mergeCell ref="M18:M19"/>
    <mergeCell ref="L24:L25"/>
    <mergeCell ref="L26:L27"/>
    <mergeCell ref="O56:O57"/>
    <mergeCell ref="P8:P9"/>
    <mergeCell ref="P10:P11"/>
    <mergeCell ref="P38:P39"/>
    <mergeCell ref="P40:P41"/>
    <mergeCell ref="P56:P57"/>
    <mergeCell ref="O14:O15"/>
    <mergeCell ref="O44:O45"/>
    <mergeCell ref="T5:T7"/>
    <mergeCell ref="U5:U7"/>
    <mergeCell ref="V5:V7"/>
    <mergeCell ref="I5:I7"/>
    <mergeCell ref="J5:J7"/>
    <mergeCell ref="L5:L7"/>
    <mergeCell ref="M5:M7"/>
    <mergeCell ref="N5:N7"/>
    <mergeCell ref="O5:O7"/>
    <mergeCell ref="M12:M13"/>
    <mergeCell ref="N12:N13"/>
    <mergeCell ref="O12:O13"/>
    <mergeCell ref="J8:J9"/>
    <mergeCell ref="J10:J11"/>
    <mergeCell ref="L8:L9"/>
    <mergeCell ref="L10:L11"/>
    <mergeCell ref="O8:O9"/>
    <mergeCell ref="O10:O11"/>
    <mergeCell ref="N8:N9"/>
    <mergeCell ref="T8:T9"/>
    <mergeCell ref="T10:T11"/>
    <mergeCell ref="U8:U9"/>
    <mergeCell ref="U10:U11"/>
    <mergeCell ref="M8:M9"/>
    <mergeCell ref="M10:M11"/>
    <mergeCell ref="P12:P13"/>
    <mergeCell ref="R12:R13"/>
    <mergeCell ref="S12:S13"/>
    <mergeCell ref="T12:T13"/>
    <mergeCell ref="U12:U13"/>
    <mergeCell ref="V12:V13"/>
    <mergeCell ref="I12:I13"/>
    <mergeCell ref="AZ5:AZ7"/>
    <mergeCell ref="BB5:BB7"/>
    <mergeCell ref="BC5:BC7"/>
    <mergeCell ref="BD5:BD7"/>
    <mergeCell ref="BE5:BE7"/>
    <mergeCell ref="BF5:BF7"/>
    <mergeCell ref="AS5:AS7"/>
    <mergeCell ref="AT5:AT7"/>
    <mergeCell ref="AV5:AV7"/>
    <mergeCell ref="AW5:AW7"/>
    <mergeCell ref="AX5:AX7"/>
    <mergeCell ref="AY5:AY7"/>
    <mergeCell ref="AL5:AL7"/>
    <mergeCell ref="AM5:AM7"/>
    <mergeCell ref="AN5:AN7"/>
    <mergeCell ref="AP5:AP7"/>
    <mergeCell ref="AQ5:AQ7"/>
    <mergeCell ref="AR5:AR7"/>
    <mergeCell ref="AO3:AO47"/>
    <mergeCell ref="AU3:AU47"/>
    <mergeCell ref="BA3:BA47"/>
    <mergeCell ref="AE5:AE7"/>
    <mergeCell ref="AF5:AF7"/>
    <mergeCell ref="AG5:AG7"/>
    <mergeCell ref="AH5:AH7"/>
    <mergeCell ref="AJ5:AJ7"/>
    <mergeCell ref="BF12:BF13"/>
    <mergeCell ref="AS12:AS13"/>
    <mergeCell ref="AT12:AT13"/>
    <mergeCell ref="AV12:AV13"/>
    <mergeCell ref="AW12:AW13"/>
    <mergeCell ref="AX12:AX13"/>
    <mergeCell ref="AY12:AY13"/>
    <mergeCell ref="AL12:AL13"/>
    <mergeCell ref="AM12:AM13"/>
    <mergeCell ref="AN12:AN13"/>
    <mergeCell ref="AP12:AP13"/>
    <mergeCell ref="AQ12:AQ13"/>
    <mergeCell ref="AR12:AR13"/>
    <mergeCell ref="AE12:AE13"/>
    <mergeCell ref="AF12:AF13"/>
    <mergeCell ref="AG12:AG13"/>
    <mergeCell ref="AH12:AH13"/>
    <mergeCell ref="AJ12:AJ13"/>
    <mergeCell ref="AK12:AK13"/>
    <mergeCell ref="AZ12:AZ13"/>
    <mergeCell ref="BB12:BB13"/>
    <mergeCell ref="BC12:BC13"/>
    <mergeCell ref="BD12:BD13"/>
    <mergeCell ref="BE12:BE13"/>
    <mergeCell ref="AH8:AH9"/>
    <mergeCell ref="AH10:AH11"/>
    <mergeCell ref="AM8:AM9"/>
    <mergeCell ref="AD16:AD17"/>
    <mergeCell ref="P16:P17"/>
    <mergeCell ref="R16:R17"/>
    <mergeCell ref="S16:S17"/>
    <mergeCell ref="T16:T17"/>
    <mergeCell ref="BD16:BD17"/>
    <mergeCell ref="BE16:BE17"/>
    <mergeCell ref="BF16:BF17"/>
    <mergeCell ref="AS16:AS17"/>
    <mergeCell ref="AT16:AT17"/>
    <mergeCell ref="AV16:AV17"/>
    <mergeCell ref="AW16:AW17"/>
    <mergeCell ref="AX16:AX17"/>
    <mergeCell ref="AY16:AY17"/>
    <mergeCell ref="AL16:AL17"/>
    <mergeCell ref="AM16:AM17"/>
    <mergeCell ref="AN16:AN17"/>
    <mergeCell ref="AP16:AP17"/>
    <mergeCell ref="AQ16:AQ17"/>
    <mergeCell ref="AR16:AR17"/>
    <mergeCell ref="AH16:AH17"/>
    <mergeCell ref="AJ16:AJ17"/>
    <mergeCell ref="AK16:AK17"/>
    <mergeCell ref="Q3:Q47"/>
    <mergeCell ref="W3:W47"/>
    <mergeCell ref="AC3:AC47"/>
    <mergeCell ref="AI3:AI47"/>
    <mergeCell ref="P14:P15"/>
    <mergeCell ref="P44:P45"/>
    <mergeCell ref="R18:R19"/>
    <mergeCell ref="S18:S19"/>
    <mergeCell ref="T18:T19"/>
    <mergeCell ref="AV20:AZ21"/>
    <mergeCell ref="X12:X13"/>
    <mergeCell ref="Y12:Y13"/>
    <mergeCell ref="Z12:Z13"/>
    <mergeCell ref="AA12:AA13"/>
    <mergeCell ref="AB12:AB13"/>
    <mergeCell ref="AD12:AD13"/>
    <mergeCell ref="A21:E21"/>
    <mergeCell ref="A22:A23"/>
    <mergeCell ref="D22:D23"/>
    <mergeCell ref="E22:E23"/>
    <mergeCell ref="F22:F23"/>
    <mergeCell ref="G22:G23"/>
    <mergeCell ref="H22:H23"/>
    <mergeCell ref="I22:I23"/>
    <mergeCell ref="AG16:AG17"/>
    <mergeCell ref="U16:U17"/>
    <mergeCell ref="V16:V17"/>
    <mergeCell ref="S14:S15"/>
    <mergeCell ref="AD14:AD15"/>
    <mergeCell ref="AE16:AE17"/>
    <mergeCell ref="AF16:AF17"/>
    <mergeCell ref="T14:T15"/>
    <mergeCell ref="O16:O17"/>
    <mergeCell ref="X16:X17"/>
    <mergeCell ref="Y16:Y17"/>
    <mergeCell ref="Z16:Z17"/>
    <mergeCell ref="AA16:AA17"/>
    <mergeCell ref="AB16:AB17"/>
    <mergeCell ref="AG22:AG23"/>
    <mergeCell ref="AH22:AH23"/>
    <mergeCell ref="BF28:BF29"/>
    <mergeCell ref="R24:R25"/>
    <mergeCell ref="AZ16:AZ17"/>
    <mergeCell ref="A16:A17"/>
    <mergeCell ref="D16:D17"/>
    <mergeCell ref="E16:E17"/>
    <mergeCell ref="F16:F17"/>
    <mergeCell ref="G16:G17"/>
    <mergeCell ref="H16:H17"/>
    <mergeCell ref="AJ22:AJ23"/>
    <mergeCell ref="AK22:AK23"/>
    <mergeCell ref="AL22:AL23"/>
    <mergeCell ref="Y22:Y23"/>
    <mergeCell ref="Z22:Z23"/>
    <mergeCell ref="AA22:AA23"/>
    <mergeCell ref="AB22:AB23"/>
    <mergeCell ref="AD22:AD23"/>
    <mergeCell ref="AE22:AE23"/>
    <mergeCell ref="R22:R23"/>
    <mergeCell ref="S22:S23"/>
    <mergeCell ref="T22:T23"/>
    <mergeCell ref="U22:U23"/>
    <mergeCell ref="V22:V23"/>
    <mergeCell ref="X22:X23"/>
    <mergeCell ref="J22:J23"/>
    <mergeCell ref="L22:L23"/>
    <mergeCell ref="M22:M23"/>
    <mergeCell ref="N22:N23"/>
    <mergeCell ref="O22:O23"/>
    <mergeCell ref="P22:P23"/>
    <mergeCell ref="AD28:AD29"/>
    <mergeCell ref="AE28:AE29"/>
    <mergeCell ref="AF28:AF29"/>
    <mergeCell ref="AG28:AG29"/>
    <mergeCell ref="BE32:BE33"/>
    <mergeCell ref="R28:R29"/>
    <mergeCell ref="S28:S29"/>
    <mergeCell ref="T28:T29"/>
    <mergeCell ref="U28:U29"/>
    <mergeCell ref="H28:H29"/>
    <mergeCell ref="I28:I29"/>
    <mergeCell ref="J28:J29"/>
    <mergeCell ref="L28:L29"/>
    <mergeCell ref="M28:M29"/>
    <mergeCell ref="N28:N29"/>
    <mergeCell ref="BB22:BB23"/>
    <mergeCell ref="BC22:BC23"/>
    <mergeCell ref="BD22:BD23"/>
    <mergeCell ref="BE22:BE23"/>
    <mergeCell ref="AT22:AT23"/>
    <mergeCell ref="AV22:AV23"/>
    <mergeCell ref="AW22:AW23"/>
    <mergeCell ref="AX22:AX23"/>
    <mergeCell ref="AY22:AY23"/>
    <mergeCell ref="AZ22:AZ23"/>
    <mergeCell ref="AM22:AM23"/>
    <mergeCell ref="AN22:AN23"/>
    <mergeCell ref="AP22:AP23"/>
    <mergeCell ref="AQ22:AQ23"/>
    <mergeCell ref="AR22:AR23"/>
    <mergeCell ref="AS22:AS23"/>
    <mergeCell ref="AF22:AF23"/>
    <mergeCell ref="AY28:AY29"/>
    <mergeCell ref="AZ28:AZ29"/>
    <mergeCell ref="BB28:BB29"/>
    <mergeCell ref="BC28:BC29"/>
    <mergeCell ref="BD28:BD29"/>
    <mergeCell ref="BE28:BE29"/>
    <mergeCell ref="AR28:AR29"/>
    <mergeCell ref="AS28:AS29"/>
    <mergeCell ref="AT28:AT29"/>
    <mergeCell ref="AV28:AV29"/>
    <mergeCell ref="AW28:AW29"/>
    <mergeCell ref="AX28:AX29"/>
    <mergeCell ref="AK28:AK29"/>
    <mergeCell ref="AL28:AL29"/>
    <mergeCell ref="AM28:AM29"/>
    <mergeCell ref="AN28:AN29"/>
    <mergeCell ref="AP28:AP29"/>
    <mergeCell ref="AQ28:AQ29"/>
    <mergeCell ref="AH32:AH33"/>
    <mergeCell ref="AJ32:AJ33"/>
    <mergeCell ref="AK32:AK33"/>
    <mergeCell ref="AL32:AL33"/>
    <mergeCell ref="AM32:AM33"/>
    <mergeCell ref="AN32:AN33"/>
    <mergeCell ref="AA32:AA33"/>
    <mergeCell ref="AB32:AB33"/>
    <mergeCell ref="AD32:AD33"/>
    <mergeCell ref="AE32:AE33"/>
    <mergeCell ref="AF32:AF33"/>
    <mergeCell ref="J42:J43"/>
    <mergeCell ref="A32:A33"/>
    <mergeCell ref="D32:D33"/>
    <mergeCell ref="E32:E33"/>
    <mergeCell ref="F32:F33"/>
    <mergeCell ref="G32:G33"/>
    <mergeCell ref="H32:H33"/>
    <mergeCell ref="I32:I33"/>
    <mergeCell ref="J32:J33"/>
    <mergeCell ref="L32:L33"/>
    <mergeCell ref="K3:K47"/>
    <mergeCell ref="H5:H7"/>
    <mergeCell ref="A8:A9"/>
    <mergeCell ref="D8:D9"/>
    <mergeCell ref="E8:E9"/>
    <mergeCell ref="A10:A11"/>
    <mergeCell ref="D10:D11"/>
    <mergeCell ref="E10:E11"/>
    <mergeCell ref="A14:A15"/>
    <mergeCell ref="D14:D15"/>
    <mergeCell ref="E14:E15"/>
    <mergeCell ref="U32:U33"/>
    <mergeCell ref="V32:V33"/>
    <mergeCell ref="X32:X33"/>
    <mergeCell ref="Y32:Y33"/>
    <mergeCell ref="Z32:Z33"/>
    <mergeCell ref="M32:M33"/>
    <mergeCell ref="N32:N33"/>
    <mergeCell ref="O32:O33"/>
    <mergeCell ref="P32:P33"/>
    <mergeCell ref="R32:R33"/>
    <mergeCell ref="S32:S33"/>
    <mergeCell ref="AR34:AR35"/>
    <mergeCell ref="BF32:BF33"/>
    <mergeCell ref="A37:E37"/>
    <mergeCell ref="A42:A43"/>
    <mergeCell ref="D42:D43"/>
    <mergeCell ref="E42:E43"/>
    <mergeCell ref="F42:F43"/>
    <mergeCell ref="G42:G43"/>
    <mergeCell ref="H42:H43"/>
    <mergeCell ref="AW32:AW33"/>
    <mergeCell ref="AX32:AX33"/>
    <mergeCell ref="AY32:AY33"/>
    <mergeCell ref="AZ32:AZ33"/>
    <mergeCell ref="BB32:BB33"/>
    <mergeCell ref="BC32:BC33"/>
    <mergeCell ref="AP32:AP33"/>
    <mergeCell ref="AQ32:AQ33"/>
    <mergeCell ref="AR32:AR33"/>
    <mergeCell ref="AS32:AS33"/>
    <mergeCell ref="AT32:AT33"/>
    <mergeCell ref="AV32:AV33"/>
    <mergeCell ref="J38:J39"/>
    <mergeCell ref="J40:J41"/>
    <mergeCell ref="O38:O39"/>
    <mergeCell ref="O40:O41"/>
    <mergeCell ref="BE42:BE43"/>
    <mergeCell ref="BF42:BF43"/>
    <mergeCell ref="AS42:AS43"/>
    <mergeCell ref="AT42:AT43"/>
    <mergeCell ref="AV42:AV43"/>
    <mergeCell ref="AW42:AW43"/>
    <mergeCell ref="AX42:AX43"/>
    <mergeCell ref="AY42:AY43"/>
    <mergeCell ref="AL42:AL43"/>
    <mergeCell ref="AM42:AM43"/>
    <mergeCell ref="AN42:AN43"/>
    <mergeCell ref="AP42:AP43"/>
    <mergeCell ref="AQ42:AQ43"/>
    <mergeCell ref="AR42:AR43"/>
    <mergeCell ref="AE42:AE43"/>
    <mergeCell ref="AF42:AF43"/>
    <mergeCell ref="AG42:AG43"/>
    <mergeCell ref="AH42:AH43"/>
    <mergeCell ref="AJ42:AJ43"/>
    <mergeCell ref="AK42:AK43"/>
    <mergeCell ref="AH38:AH39"/>
    <mergeCell ref="AH40:AH41"/>
    <mergeCell ref="AR38:AR39"/>
    <mergeCell ref="AR40:AR41"/>
    <mergeCell ref="AZ40:AZ41"/>
    <mergeCell ref="L42:L43"/>
    <mergeCell ref="M42:M43"/>
    <mergeCell ref="N42:N43"/>
    <mergeCell ref="U46:U47"/>
    <mergeCell ref="V46:V47"/>
    <mergeCell ref="I46:I47"/>
    <mergeCell ref="J46:J47"/>
    <mergeCell ref="L46:L47"/>
    <mergeCell ref="M46:M47"/>
    <mergeCell ref="N46:N47"/>
    <mergeCell ref="O46:O47"/>
    <mergeCell ref="E46:E47"/>
    <mergeCell ref="F46:F47"/>
    <mergeCell ref="G46:G47"/>
    <mergeCell ref="H46:H47"/>
    <mergeCell ref="AZ42:AZ43"/>
    <mergeCell ref="X42:X43"/>
    <mergeCell ref="Y42:Y43"/>
    <mergeCell ref="AJ46:AJ47"/>
    <mergeCell ref="AK46:AK47"/>
    <mergeCell ref="Z42:Z43"/>
    <mergeCell ref="AA42:AA43"/>
    <mergeCell ref="AB42:AB43"/>
    <mergeCell ref="AD42:AD43"/>
    <mergeCell ref="P42:P43"/>
    <mergeCell ref="R42:R43"/>
    <mergeCell ref="S42:S43"/>
    <mergeCell ref="T42:T43"/>
    <mergeCell ref="U42:U43"/>
    <mergeCell ref="V42:V43"/>
    <mergeCell ref="I42:I43"/>
    <mergeCell ref="O42:O43"/>
    <mergeCell ref="A50:A51"/>
    <mergeCell ref="D50:D51"/>
    <mergeCell ref="E50:E51"/>
    <mergeCell ref="F50:F51"/>
    <mergeCell ref="G50:G51"/>
    <mergeCell ref="H50:H51"/>
    <mergeCell ref="I50:I51"/>
    <mergeCell ref="J50:J51"/>
    <mergeCell ref="AZ46:AZ47"/>
    <mergeCell ref="BB46:BB47"/>
    <mergeCell ref="BC46:BC47"/>
    <mergeCell ref="BD46:BD47"/>
    <mergeCell ref="BE46:BE47"/>
    <mergeCell ref="BF46:BF47"/>
    <mergeCell ref="AS46:AS47"/>
    <mergeCell ref="AT46:AT47"/>
    <mergeCell ref="AV46:AV47"/>
    <mergeCell ref="AW46:AW47"/>
    <mergeCell ref="AX46:AX47"/>
    <mergeCell ref="AY46:AY47"/>
    <mergeCell ref="AL46:AL47"/>
    <mergeCell ref="AM46:AM47"/>
    <mergeCell ref="AN46:AN47"/>
    <mergeCell ref="AP46:AP47"/>
    <mergeCell ref="AQ46:AQ47"/>
    <mergeCell ref="AR46:AR47"/>
    <mergeCell ref="AE46:AE47"/>
    <mergeCell ref="AF46:AF47"/>
    <mergeCell ref="AG46:AG47"/>
    <mergeCell ref="AH46:AH47"/>
    <mergeCell ref="Q50:Q53"/>
    <mergeCell ref="P46:P47"/>
    <mergeCell ref="P52:P53"/>
    <mergeCell ref="N52:N53"/>
    <mergeCell ref="O52:O53"/>
    <mergeCell ref="AM50:AM51"/>
    <mergeCell ref="AN50:AN51"/>
    <mergeCell ref="AC50:AC53"/>
    <mergeCell ref="AD50:AD51"/>
    <mergeCell ref="AE50:AE51"/>
    <mergeCell ref="AF50:AF51"/>
    <mergeCell ref="AG50:AG51"/>
    <mergeCell ref="AH50:AH51"/>
    <mergeCell ref="AD52:AD53"/>
    <mergeCell ref="AE52:AE53"/>
    <mergeCell ref="AF52:AF53"/>
    <mergeCell ref="AG52:AG53"/>
    <mergeCell ref="W50:W53"/>
    <mergeCell ref="X50:X51"/>
    <mergeCell ref="Y50:Y51"/>
    <mergeCell ref="Z50:Z51"/>
    <mergeCell ref="AA50:AA51"/>
    <mergeCell ref="AB50:AB51"/>
    <mergeCell ref="A52:A53"/>
    <mergeCell ref="D52:D53"/>
    <mergeCell ref="E52:E53"/>
    <mergeCell ref="F52:F53"/>
    <mergeCell ref="G52:G53"/>
    <mergeCell ref="H52:H53"/>
    <mergeCell ref="BA50:BA53"/>
    <mergeCell ref="BB50:BB51"/>
    <mergeCell ref="BC50:BC51"/>
    <mergeCell ref="BD50:BD51"/>
    <mergeCell ref="BE50:BE51"/>
    <mergeCell ref="BF50:BF51"/>
    <mergeCell ref="BB52:BB53"/>
    <mergeCell ref="BC52:BC53"/>
    <mergeCell ref="BD52:BD53"/>
    <mergeCell ref="BE52:BE53"/>
    <mergeCell ref="AU50:AU53"/>
    <mergeCell ref="AV50:AV51"/>
    <mergeCell ref="AW50:AW51"/>
    <mergeCell ref="AX50:AX51"/>
    <mergeCell ref="AY50:AY51"/>
    <mergeCell ref="AZ50:AZ51"/>
    <mergeCell ref="AO50:AO53"/>
    <mergeCell ref="AP50:AP51"/>
    <mergeCell ref="AQ50:AQ51"/>
    <mergeCell ref="AR50:AR51"/>
    <mergeCell ref="AS50:AS51"/>
    <mergeCell ref="AT50:AT51"/>
    <mergeCell ref="AP52:AP53"/>
    <mergeCell ref="AQ52:AQ53"/>
    <mergeCell ref="BF52:BF53"/>
    <mergeCell ref="AR52:AR53"/>
    <mergeCell ref="J58:J59"/>
    <mergeCell ref="AT52:AT53"/>
    <mergeCell ref="AV52:AV53"/>
    <mergeCell ref="AW52:AW53"/>
    <mergeCell ref="AX52:AX53"/>
    <mergeCell ref="AY52:AY53"/>
    <mergeCell ref="AZ52:AZ53"/>
    <mergeCell ref="AH52:AH53"/>
    <mergeCell ref="AJ52:AJ53"/>
    <mergeCell ref="AK52:AK53"/>
    <mergeCell ref="AL52:AL53"/>
    <mergeCell ref="AM52:AM53"/>
    <mergeCell ref="AN52:AN53"/>
    <mergeCell ref="V52:V53"/>
    <mergeCell ref="X52:X53"/>
    <mergeCell ref="Y52:Y53"/>
    <mergeCell ref="Z52:Z53"/>
    <mergeCell ref="AA52:AA53"/>
    <mergeCell ref="AB52:AB53"/>
    <mergeCell ref="J52:J53"/>
    <mergeCell ref="L52:L53"/>
    <mergeCell ref="M52:M53"/>
    <mergeCell ref="W58:W63"/>
    <mergeCell ref="AS52:AS53"/>
    <mergeCell ref="AI50:AI53"/>
    <mergeCell ref="AJ50:AJ51"/>
    <mergeCell ref="AK50:AK51"/>
    <mergeCell ref="AL50:AL51"/>
    <mergeCell ref="M50:M51"/>
    <mergeCell ref="N50:N51"/>
    <mergeCell ref="O50:O51"/>
    <mergeCell ref="P50:P51"/>
    <mergeCell ref="AL60:AL61"/>
    <mergeCell ref="AJ60:AJ61"/>
    <mergeCell ref="AK60:AK61"/>
    <mergeCell ref="Q58:Q63"/>
    <mergeCell ref="R58:R59"/>
    <mergeCell ref="S58:S59"/>
    <mergeCell ref="T58:T59"/>
    <mergeCell ref="U58:U59"/>
    <mergeCell ref="V58:V59"/>
    <mergeCell ref="R62:R63"/>
    <mergeCell ref="S62:S63"/>
    <mergeCell ref="T62:T63"/>
    <mergeCell ref="U62:U63"/>
    <mergeCell ref="K58:K63"/>
    <mergeCell ref="L58:L59"/>
    <mergeCell ref="M58:M59"/>
    <mergeCell ref="N58:N59"/>
    <mergeCell ref="O58:O59"/>
    <mergeCell ref="P58:P59"/>
    <mergeCell ref="P62:P63"/>
    <mergeCell ref="N62:N63"/>
    <mergeCell ref="O62:O63"/>
    <mergeCell ref="T60:T61"/>
    <mergeCell ref="S60:S61"/>
    <mergeCell ref="L62:L63"/>
    <mergeCell ref="M62:M63"/>
    <mergeCell ref="P66:P67"/>
    <mergeCell ref="A62:A63"/>
    <mergeCell ref="BE58:BE59"/>
    <mergeCell ref="BF58:BF59"/>
    <mergeCell ref="BB62:BB63"/>
    <mergeCell ref="BC62:BC63"/>
    <mergeCell ref="BD62:BD63"/>
    <mergeCell ref="BE62:BE63"/>
    <mergeCell ref="AU58:AU63"/>
    <mergeCell ref="AV58:AV59"/>
    <mergeCell ref="AW58:AW59"/>
    <mergeCell ref="AX58:AX59"/>
    <mergeCell ref="AY58:AY59"/>
    <mergeCell ref="AZ58:AZ59"/>
    <mergeCell ref="AO58:AO63"/>
    <mergeCell ref="AP58:AP59"/>
    <mergeCell ref="AQ58:AQ59"/>
    <mergeCell ref="AR58:AR59"/>
    <mergeCell ref="AS58:AS59"/>
    <mergeCell ref="AT58:AT59"/>
    <mergeCell ref="AP62:AP63"/>
    <mergeCell ref="AQ62:AQ63"/>
    <mergeCell ref="BF62:BF63"/>
    <mergeCell ref="AR62:AR63"/>
    <mergeCell ref="AS62:AS63"/>
    <mergeCell ref="BD60:BD61"/>
    <mergeCell ref="AC58:AC63"/>
    <mergeCell ref="AD58:AD59"/>
    <mergeCell ref="AE58:AE59"/>
    <mergeCell ref="AF58:AF59"/>
    <mergeCell ref="AT62:AT63"/>
    <mergeCell ref="AV62:AV63"/>
    <mergeCell ref="AW62:AW63"/>
    <mergeCell ref="AX62:AX63"/>
    <mergeCell ref="AY62:AY63"/>
    <mergeCell ref="AZ62:AZ63"/>
    <mergeCell ref="AH62:AH63"/>
    <mergeCell ref="AJ62:AJ63"/>
    <mergeCell ref="AK62:AK63"/>
    <mergeCell ref="AL62:AL63"/>
    <mergeCell ref="AM62:AM63"/>
    <mergeCell ref="AN62:AN63"/>
    <mergeCell ref="V62:V63"/>
    <mergeCell ref="X62:X63"/>
    <mergeCell ref="Y62:Y63"/>
    <mergeCell ref="Z62:Z63"/>
    <mergeCell ref="AA62:AA63"/>
    <mergeCell ref="AB62:AB63"/>
    <mergeCell ref="AD62:AD63"/>
    <mergeCell ref="AE62:AE63"/>
    <mergeCell ref="AF62:AF63"/>
    <mergeCell ref="AG62:AG63"/>
    <mergeCell ref="U66:U67"/>
    <mergeCell ref="P68:P69"/>
    <mergeCell ref="R68:R69"/>
    <mergeCell ref="S68:S69"/>
    <mergeCell ref="T68:T69"/>
    <mergeCell ref="J66:J67"/>
    <mergeCell ref="L66:L67"/>
    <mergeCell ref="M66:M67"/>
    <mergeCell ref="N66:N67"/>
    <mergeCell ref="O66:O67"/>
    <mergeCell ref="M68:M69"/>
    <mergeCell ref="N68:N69"/>
    <mergeCell ref="O68:O69"/>
    <mergeCell ref="BE64:BF65"/>
    <mergeCell ref="A66:A67"/>
    <mergeCell ref="D66:D67"/>
    <mergeCell ref="E66:E67"/>
    <mergeCell ref="F66:F67"/>
    <mergeCell ref="G66:G67"/>
    <mergeCell ref="H66:H67"/>
    <mergeCell ref="I66:I67"/>
    <mergeCell ref="AS66:AS67"/>
    <mergeCell ref="AJ66:AJ67"/>
    <mergeCell ref="AK66:AK67"/>
    <mergeCell ref="AL66:AL67"/>
    <mergeCell ref="AM66:AM67"/>
    <mergeCell ref="AB66:AB67"/>
    <mergeCell ref="AD66:AD67"/>
    <mergeCell ref="AE66:AE67"/>
    <mergeCell ref="AF66:AF67"/>
    <mergeCell ref="AG66:AG67"/>
    <mergeCell ref="AB68:AB69"/>
    <mergeCell ref="AD68:AD69"/>
    <mergeCell ref="AE68:AE69"/>
    <mergeCell ref="AF68:AF69"/>
    <mergeCell ref="V66:V67"/>
    <mergeCell ref="X66:X67"/>
    <mergeCell ref="Y66:Y67"/>
    <mergeCell ref="Z66:Z67"/>
    <mergeCell ref="AA66:AA67"/>
    <mergeCell ref="AQ68:AQ69"/>
    <mergeCell ref="AR68:AR69"/>
    <mergeCell ref="BF66:BF67"/>
    <mergeCell ref="A68:A69"/>
    <mergeCell ref="D68:D69"/>
    <mergeCell ref="E68:E69"/>
    <mergeCell ref="F68:F69"/>
    <mergeCell ref="G68:G69"/>
    <mergeCell ref="H68:H69"/>
    <mergeCell ref="I68:I69"/>
    <mergeCell ref="J68:J69"/>
    <mergeCell ref="L68:L69"/>
    <mergeCell ref="AZ66:AZ67"/>
    <mergeCell ref="BA66:BA69"/>
    <mergeCell ref="BB66:BB67"/>
    <mergeCell ref="BC66:BC67"/>
    <mergeCell ref="BD66:BD67"/>
    <mergeCell ref="BE66:BE67"/>
    <mergeCell ref="AZ68:AZ69"/>
    <mergeCell ref="BB68:BB69"/>
    <mergeCell ref="BC68:BC69"/>
    <mergeCell ref="BD68:BD69"/>
    <mergeCell ref="AT66:AT67"/>
    <mergeCell ref="AU66:AU69"/>
    <mergeCell ref="AV66:AV67"/>
    <mergeCell ref="AW66:AW67"/>
    <mergeCell ref="AX66:AX67"/>
    <mergeCell ref="AY66:AY67"/>
    <mergeCell ref="AN66:AN67"/>
    <mergeCell ref="AP66:AP67"/>
    <mergeCell ref="AQ66:AQ67"/>
    <mergeCell ref="AR66:AR67"/>
    <mergeCell ref="M79:M80"/>
    <mergeCell ref="N79:N80"/>
    <mergeCell ref="O79:O80"/>
    <mergeCell ref="BE68:BE69"/>
    <mergeCell ref="BF68:BF69"/>
    <mergeCell ref="A70:E70"/>
    <mergeCell ref="A75:A76"/>
    <mergeCell ref="D75:D76"/>
    <mergeCell ref="E75:E76"/>
    <mergeCell ref="F75:F76"/>
    <mergeCell ref="G75:G76"/>
    <mergeCell ref="H75:H76"/>
    <mergeCell ref="I75:I76"/>
    <mergeCell ref="AS68:AS69"/>
    <mergeCell ref="AT68:AT69"/>
    <mergeCell ref="AV68:AV69"/>
    <mergeCell ref="AW68:AW69"/>
    <mergeCell ref="AX68:AX69"/>
    <mergeCell ref="AY68:AY69"/>
    <mergeCell ref="AG68:AG69"/>
    <mergeCell ref="AH68:AH69"/>
    <mergeCell ref="AJ68:AJ69"/>
    <mergeCell ref="AK68:AK69"/>
    <mergeCell ref="AL68:AL69"/>
    <mergeCell ref="AM68:AM69"/>
    <mergeCell ref="U68:U69"/>
    <mergeCell ref="V68:V69"/>
    <mergeCell ref="X68:X69"/>
    <mergeCell ref="Y68:Y69"/>
    <mergeCell ref="Z68:Z69"/>
    <mergeCell ref="AA68:AA69"/>
    <mergeCell ref="AN68:AN69"/>
    <mergeCell ref="L79:L80"/>
    <mergeCell ref="AZ75:AZ76"/>
    <mergeCell ref="BB75:BB76"/>
    <mergeCell ref="BC75:BC76"/>
    <mergeCell ref="BD75:BD76"/>
    <mergeCell ref="BE75:BE76"/>
    <mergeCell ref="AZ79:AZ80"/>
    <mergeCell ref="BB79:BB80"/>
    <mergeCell ref="BC79:BC80"/>
    <mergeCell ref="BD79:BD80"/>
    <mergeCell ref="AT75:AT76"/>
    <mergeCell ref="AV75:AV76"/>
    <mergeCell ref="AW75:AW76"/>
    <mergeCell ref="AX75:AX76"/>
    <mergeCell ref="AY75:AY76"/>
    <mergeCell ref="AN75:AN76"/>
    <mergeCell ref="AP75:AP76"/>
    <mergeCell ref="AQ75:AQ76"/>
    <mergeCell ref="AR75:AR76"/>
    <mergeCell ref="AS75:AS76"/>
    <mergeCell ref="X75:X76"/>
    <mergeCell ref="Y75:Y76"/>
    <mergeCell ref="Z75:Z76"/>
    <mergeCell ref="AA75:AA76"/>
    <mergeCell ref="P75:P76"/>
    <mergeCell ref="R75:R76"/>
    <mergeCell ref="S75:S76"/>
    <mergeCell ref="T75:T76"/>
    <mergeCell ref="U75:U76"/>
    <mergeCell ref="P79:P80"/>
    <mergeCell ref="R79:R80"/>
    <mergeCell ref="S79:S80"/>
    <mergeCell ref="A83:A84"/>
    <mergeCell ref="D83:D84"/>
    <mergeCell ref="E83:E84"/>
    <mergeCell ref="F83:F84"/>
    <mergeCell ref="G83:G84"/>
    <mergeCell ref="H83:H84"/>
    <mergeCell ref="AS79:AS80"/>
    <mergeCell ref="AT79:AT80"/>
    <mergeCell ref="AV79:AV80"/>
    <mergeCell ref="AW79:AW80"/>
    <mergeCell ref="AX79:AX80"/>
    <mergeCell ref="AY79:AY80"/>
    <mergeCell ref="AG79:AG80"/>
    <mergeCell ref="AH79:AH80"/>
    <mergeCell ref="AJ79:AJ80"/>
    <mergeCell ref="AK79:AK80"/>
    <mergeCell ref="AL79:AL80"/>
    <mergeCell ref="AM79:AM80"/>
    <mergeCell ref="U79:U80"/>
    <mergeCell ref="V79:V80"/>
    <mergeCell ref="X79:X80"/>
    <mergeCell ref="Y79:Y80"/>
    <mergeCell ref="Z79:Z80"/>
    <mergeCell ref="AA79:AA80"/>
    <mergeCell ref="AN79:AN80"/>
    <mergeCell ref="AP79:AP80"/>
    <mergeCell ref="AQ79:AQ80"/>
    <mergeCell ref="AR79:AR80"/>
    <mergeCell ref="A79:A80"/>
    <mergeCell ref="D79:D80"/>
    <mergeCell ref="E79:E80"/>
    <mergeCell ref="F79:F80"/>
    <mergeCell ref="U83:U84"/>
    <mergeCell ref="V83:V84"/>
    <mergeCell ref="W83:W86"/>
    <mergeCell ref="X83:X84"/>
    <mergeCell ref="Y83:Y84"/>
    <mergeCell ref="Z83:Z84"/>
    <mergeCell ref="O83:O84"/>
    <mergeCell ref="P83:P84"/>
    <mergeCell ref="Q83:Q86"/>
    <mergeCell ref="R83:R84"/>
    <mergeCell ref="S83:S84"/>
    <mergeCell ref="T83:T84"/>
    <mergeCell ref="O85:O86"/>
    <mergeCell ref="P85:P86"/>
    <mergeCell ref="R85:R86"/>
    <mergeCell ref="S85:S86"/>
    <mergeCell ref="I83:I84"/>
    <mergeCell ref="J83:J84"/>
    <mergeCell ref="K83:K86"/>
    <mergeCell ref="L83:L84"/>
    <mergeCell ref="M83:M84"/>
    <mergeCell ref="N83:N84"/>
    <mergeCell ref="L85:L86"/>
    <mergeCell ref="M85:M86"/>
    <mergeCell ref="N85:N86"/>
    <mergeCell ref="AU83:AU86"/>
    <mergeCell ref="AV83:AV84"/>
    <mergeCell ref="AW83:AW84"/>
    <mergeCell ref="AX83:AX84"/>
    <mergeCell ref="AM83:AM84"/>
    <mergeCell ref="AN83:AN84"/>
    <mergeCell ref="AO83:AO86"/>
    <mergeCell ref="AP83:AP84"/>
    <mergeCell ref="AQ83:AQ84"/>
    <mergeCell ref="AR83:AR84"/>
    <mergeCell ref="AL83:AL84"/>
    <mergeCell ref="AA83:AA84"/>
    <mergeCell ref="AB83:AB84"/>
    <mergeCell ref="AC83:AC86"/>
    <mergeCell ref="AD83:AD84"/>
    <mergeCell ref="AE83:AE84"/>
    <mergeCell ref="AF83:AF84"/>
    <mergeCell ref="AA85:AA86"/>
    <mergeCell ref="AB85:AB86"/>
    <mergeCell ref="AD85:AD86"/>
    <mergeCell ref="AE85:AE86"/>
    <mergeCell ref="U85:U86"/>
    <mergeCell ref="V85:V86"/>
    <mergeCell ref="X85:X86"/>
    <mergeCell ref="Y85:Y86"/>
    <mergeCell ref="Z85:Z86"/>
    <mergeCell ref="AM85:AM86"/>
    <mergeCell ref="AN85:AN86"/>
    <mergeCell ref="AP85:AP86"/>
    <mergeCell ref="AQ85:AQ86"/>
    <mergeCell ref="AI83:AI86"/>
    <mergeCell ref="BE83:BE84"/>
    <mergeCell ref="BF83:BF84"/>
    <mergeCell ref="A85:A86"/>
    <mergeCell ref="D85:D86"/>
    <mergeCell ref="E85:E86"/>
    <mergeCell ref="F85:F86"/>
    <mergeCell ref="G85:G86"/>
    <mergeCell ref="H85:H86"/>
    <mergeCell ref="I85:I86"/>
    <mergeCell ref="J85:J86"/>
    <mergeCell ref="AY83:AY84"/>
    <mergeCell ref="AZ83:AZ84"/>
    <mergeCell ref="BA83:BA86"/>
    <mergeCell ref="BB83:BB84"/>
    <mergeCell ref="BC83:BC84"/>
    <mergeCell ref="BD83:BD84"/>
    <mergeCell ref="AY85:AY86"/>
    <mergeCell ref="AZ85:AZ86"/>
    <mergeCell ref="BB85:BB86"/>
    <mergeCell ref="BC85:BC86"/>
    <mergeCell ref="AS83:AS84"/>
    <mergeCell ref="AT83:AT84"/>
    <mergeCell ref="J91:J92"/>
    <mergeCell ref="L91:L92"/>
    <mergeCell ref="M91:M92"/>
    <mergeCell ref="J95:J96"/>
    <mergeCell ref="L95:L96"/>
    <mergeCell ref="M95:M96"/>
    <mergeCell ref="J93:J94"/>
    <mergeCell ref="O93:O94"/>
    <mergeCell ref="P93:P94"/>
    <mergeCell ref="S93:S94"/>
    <mergeCell ref="R93:R94"/>
    <mergeCell ref="BE85:BE86"/>
    <mergeCell ref="BF85:BF86"/>
    <mergeCell ref="A87:BD88"/>
    <mergeCell ref="BE87:BF88"/>
    <mergeCell ref="A91:A92"/>
    <mergeCell ref="D91:D92"/>
    <mergeCell ref="E91:E92"/>
    <mergeCell ref="F91:F92"/>
    <mergeCell ref="G91:G92"/>
    <mergeCell ref="AR85:AR86"/>
    <mergeCell ref="AS85:AS86"/>
    <mergeCell ref="AT85:AT86"/>
    <mergeCell ref="AV85:AV86"/>
    <mergeCell ref="AW85:AW86"/>
    <mergeCell ref="AX85:AX86"/>
    <mergeCell ref="AF85:AF86"/>
    <mergeCell ref="AG85:AG86"/>
    <mergeCell ref="AH85:AH86"/>
    <mergeCell ref="AJ85:AJ86"/>
    <mergeCell ref="AK85:AK86"/>
    <mergeCell ref="AL85:AL86"/>
    <mergeCell ref="AG91:AG92"/>
    <mergeCell ref="AH91:AH92"/>
    <mergeCell ref="AJ91:AJ92"/>
    <mergeCell ref="AK91:AK92"/>
    <mergeCell ref="Z91:Z92"/>
    <mergeCell ref="AA91:AA92"/>
    <mergeCell ref="AB91:AB92"/>
    <mergeCell ref="AD91:AD92"/>
    <mergeCell ref="AE91:AE92"/>
    <mergeCell ref="Z95:Z96"/>
    <mergeCell ref="AA95:AA96"/>
    <mergeCell ref="AB95:AB96"/>
    <mergeCell ref="AD95:AD96"/>
    <mergeCell ref="Z93:Z94"/>
    <mergeCell ref="AH93:AH94"/>
    <mergeCell ref="O91:O92"/>
    <mergeCell ref="P91:P92"/>
    <mergeCell ref="R91:R92"/>
    <mergeCell ref="S91:S92"/>
    <mergeCell ref="O95:O96"/>
    <mergeCell ref="P95:P96"/>
    <mergeCell ref="R95:R96"/>
    <mergeCell ref="AX91:AX92"/>
    <mergeCell ref="AY91:AY92"/>
    <mergeCell ref="AZ91:AZ92"/>
    <mergeCell ref="BB91:BB92"/>
    <mergeCell ref="BC91:BC92"/>
    <mergeCell ref="AX95:AX96"/>
    <mergeCell ref="AY95:AY96"/>
    <mergeCell ref="AZ95:AZ96"/>
    <mergeCell ref="BB95:BB96"/>
    <mergeCell ref="AR91:AR92"/>
    <mergeCell ref="AS91:AS92"/>
    <mergeCell ref="AT91:AT92"/>
    <mergeCell ref="AV91:AV92"/>
    <mergeCell ref="AW91:AW92"/>
    <mergeCell ref="AL91:AL92"/>
    <mergeCell ref="AM91:AM92"/>
    <mergeCell ref="AN91:AN92"/>
    <mergeCell ref="AP91:AP92"/>
    <mergeCell ref="AQ91:AQ92"/>
    <mergeCell ref="AN95:AN96"/>
    <mergeCell ref="AP95:AP96"/>
    <mergeCell ref="AL93:AL94"/>
    <mergeCell ref="AM93:AM94"/>
    <mergeCell ref="AN93:AN94"/>
    <mergeCell ref="BE95:BE96"/>
    <mergeCell ref="BF95:BF96"/>
    <mergeCell ref="A97:BD98"/>
    <mergeCell ref="BE97:BF98"/>
    <mergeCell ref="AQ95:AQ96"/>
    <mergeCell ref="AR95:AR96"/>
    <mergeCell ref="AS95:AS96"/>
    <mergeCell ref="AT95:AT96"/>
    <mergeCell ref="AV95:AV96"/>
    <mergeCell ref="AW95:AW96"/>
    <mergeCell ref="AE95:AE96"/>
    <mergeCell ref="AF95:AF96"/>
    <mergeCell ref="AG95:AG96"/>
    <mergeCell ref="AH95:AH96"/>
    <mergeCell ref="AJ95:AJ96"/>
    <mergeCell ref="AK95:AK96"/>
    <mergeCell ref="S95:S96"/>
    <mergeCell ref="T95:T96"/>
    <mergeCell ref="U95:U96"/>
    <mergeCell ref="V95:V96"/>
    <mergeCell ref="X95:X96"/>
    <mergeCell ref="Y95:Y96"/>
    <mergeCell ref="AL95:AL96"/>
    <mergeCell ref="AM95:AM96"/>
    <mergeCell ref="A95:A96"/>
    <mergeCell ref="D95:D96"/>
    <mergeCell ref="E95:E96"/>
    <mergeCell ref="F95:F96"/>
    <mergeCell ref="G95:G96"/>
    <mergeCell ref="H95:H96"/>
    <mergeCell ref="I95:I96"/>
    <mergeCell ref="N95:N96"/>
    <mergeCell ref="A99:A100"/>
    <mergeCell ref="D99:D100"/>
    <mergeCell ref="E99:E100"/>
    <mergeCell ref="F99:F100"/>
    <mergeCell ref="G99:G100"/>
    <mergeCell ref="H99:H100"/>
    <mergeCell ref="BC95:BC96"/>
    <mergeCell ref="BD95:BD96"/>
    <mergeCell ref="P99:P100"/>
    <mergeCell ref="R99:R100"/>
    <mergeCell ref="S99:S100"/>
    <mergeCell ref="T99:T100"/>
    <mergeCell ref="O101:O102"/>
    <mergeCell ref="P101:P102"/>
    <mergeCell ref="R101:R102"/>
    <mergeCell ref="S101:S102"/>
    <mergeCell ref="I99:I100"/>
    <mergeCell ref="J99:J100"/>
    <mergeCell ref="K99:K124"/>
    <mergeCell ref="L99:L100"/>
    <mergeCell ref="M99:M100"/>
    <mergeCell ref="N99:N100"/>
    <mergeCell ref="N101:N102"/>
    <mergeCell ref="I104:I105"/>
    <mergeCell ref="AF110:AF111"/>
    <mergeCell ref="AV106:AV107"/>
    <mergeCell ref="J104:J105"/>
    <mergeCell ref="L104:L105"/>
    <mergeCell ref="AM99:AM100"/>
    <mergeCell ref="AN99:AN100"/>
    <mergeCell ref="AP99:AP100"/>
    <mergeCell ref="AQ99:AQ100"/>
    <mergeCell ref="AR99:AR100"/>
    <mergeCell ref="AM101:AM102"/>
    <mergeCell ref="AN101:AN102"/>
    <mergeCell ref="AP101:AP102"/>
    <mergeCell ref="AQ101:AQ102"/>
    <mergeCell ref="AG99:AG100"/>
    <mergeCell ref="AH99:AH100"/>
    <mergeCell ref="AJ99:AJ100"/>
    <mergeCell ref="AK99:AK100"/>
    <mergeCell ref="AL99:AL100"/>
    <mergeCell ref="AA99:AA100"/>
    <mergeCell ref="AB99:AB100"/>
    <mergeCell ref="AD99:AD100"/>
    <mergeCell ref="AE99:AE100"/>
    <mergeCell ref="AF99:AF100"/>
    <mergeCell ref="AA101:AA102"/>
    <mergeCell ref="AB101:AB102"/>
    <mergeCell ref="Y101:Y102"/>
    <mergeCell ref="Z101:Z102"/>
    <mergeCell ref="M104:M105"/>
    <mergeCell ref="N104:N105"/>
    <mergeCell ref="O104:O105"/>
    <mergeCell ref="AE101:AE102"/>
    <mergeCell ref="U99:U100"/>
    <mergeCell ref="V99:V100"/>
    <mergeCell ref="X106:X107"/>
    <mergeCell ref="AG104:AG105"/>
    <mergeCell ref="AH104:AH105"/>
    <mergeCell ref="BE99:BE100"/>
    <mergeCell ref="BF99:BF100"/>
    <mergeCell ref="A101:A102"/>
    <mergeCell ref="D101:D102"/>
    <mergeCell ref="E101:E102"/>
    <mergeCell ref="F101:F102"/>
    <mergeCell ref="G101:G102"/>
    <mergeCell ref="H101:H102"/>
    <mergeCell ref="I101:I102"/>
    <mergeCell ref="J101:J102"/>
    <mergeCell ref="AY99:AY100"/>
    <mergeCell ref="AZ99:AZ100"/>
    <mergeCell ref="BB99:BB100"/>
    <mergeCell ref="BC99:BC100"/>
    <mergeCell ref="BD99:BD100"/>
    <mergeCell ref="AY101:AY102"/>
    <mergeCell ref="AZ101:AZ102"/>
    <mergeCell ref="BB101:BB102"/>
    <mergeCell ref="BC101:BC102"/>
    <mergeCell ref="AS99:AS100"/>
    <mergeCell ref="AT99:AT100"/>
    <mergeCell ref="AU99:AU124"/>
    <mergeCell ref="AV99:AV100"/>
    <mergeCell ref="AW99:AW100"/>
    <mergeCell ref="L101:L102"/>
    <mergeCell ref="M101:M102"/>
    <mergeCell ref="AX99:AX100"/>
    <mergeCell ref="AV104:AV105"/>
    <mergeCell ref="AW104:AW105"/>
    <mergeCell ref="AX104:AX105"/>
    <mergeCell ref="BD101:BD102"/>
    <mergeCell ref="BE101:BE102"/>
    <mergeCell ref="BF101:BF102"/>
    <mergeCell ref="A103:E103"/>
    <mergeCell ref="A104:A105"/>
    <mergeCell ref="D104:D105"/>
    <mergeCell ref="E104:E105"/>
    <mergeCell ref="F104:F105"/>
    <mergeCell ref="G104:G105"/>
    <mergeCell ref="H104:H105"/>
    <mergeCell ref="AR101:AR102"/>
    <mergeCell ref="AS101:AS102"/>
    <mergeCell ref="AT101:AT102"/>
    <mergeCell ref="AV101:AV102"/>
    <mergeCell ref="AW101:AW102"/>
    <mergeCell ref="AX101:AX102"/>
    <mergeCell ref="AF101:AF102"/>
    <mergeCell ref="AG101:AG102"/>
    <mergeCell ref="AH101:AH102"/>
    <mergeCell ref="AJ101:AJ102"/>
    <mergeCell ref="AK101:AK102"/>
    <mergeCell ref="AL101:AL102"/>
    <mergeCell ref="T101:T102"/>
    <mergeCell ref="U101:U102"/>
    <mergeCell ref="V101:V102"/>
    <mergeCell ref="AA104:AA105"/>
    <mergeCell ref="AB104:AB105"/>
    <mergeCell ref="AD101:AD102"/>
    <mergeCell ref="AE110:AE111"/>
    <mergeCell ref="BE104:BE105"/>
    <mergeCell ref="BF104:BF105"/>
    <mergeCell ref="A106:A107"/>
    <mergeCell ref="D106:D107"/>
    <mergeCell ref="E106:E107"/>
    <mergeCell ref="F106:F107"/>
    <mergeCell ref="G106:G107"/>
    <mergeCell ref="H106:H107"/>
    <mergeCell ref="I106:I107"/>
    <mergeCell ref="J106:J107"/>
    <mergeCell ref="AY104:AY105"/>
    <mergeCell ref="AZ104:AZ105"/>
    <mergeCell ref="BB104:BB105"/>
    <mergeCell ref="BC104:BC105"/>
    <mergeCell ref="BD104:BD105"/>
    <mergeCell ref="BD106:BD107"/>
    <mergeCell ref="BC108:BC109"/>
    <mergeCell ref="P104:P105"/>
    <mergeCell ref="S110:S111"/>
    <mergeCell ref="T110:T111"/>
    <mergeCell ref="X116:X117"/>
    <mergeCell ref="Y116:Y117"/>
    <mergeCell ref="Z116:Z117"/>
    <mergeCell ref="AA116:AA117"/>
    <mergeCell ref="AB116:AB117"/>
    <mergeCell ref="X99:X100"/>
    <mergeCell ref="Y99:Y100"/>
    <mergeCell ref="Z99:Z100"/>
    <mergeCell ref="O99:O100"/>
    <mergeCell ref="R104:R105"/>
    <mergeCell ref="S104:S105"/>
    <mergeCell ref="T104:T105"/>
    <mergeCell ref="U104:U105"/>
    <mergeCell ref="V104:V105"/>
    <mergeCell ref="S106:S107"/>
    <mergeCell ref="T106:T107"/>
    <mergeCell ref="U106:U107"/>
    <mergeCell ref="V106:V107"/>
    <mergeCell ref="X101:X102"/>
    <mergeCell ref="BD108:BD109"/>
    <mergeCell ref="BC112:BC113"/>
    <mergeCell ref="AP104:AP105"/>
    <mergeCell ref="AQ104:AQ105"/>
    <mergeCell ref="AR104:AR105"/>
    <mergeCell ref="AS104:AS105"/>
    <mergeCell ref="AT104:AT105"/>
    <mergeCell ref="AQ108:AQ109"/>
    <mergeCell ref="AR108:AR109"/>
    <mergeCell ref="AS108:AS109"/>
    <mergeCell ref="AT108:AT109"/>
    <mergeCell ref="AG108:AG109"/>
    <mergeCell ref="AH108:AH109"/>
    <mergeCell ref="AL104:AL105"/>
    <mergeCell ref="AM104:AM105"/>
    <mergeCell ref="AN104:AN105"/>
    <mergeCell ref="AJ106:AJ107"/>
    <mergeCell ref="AK106:AK107"/>
    <mergeCell ref="AL106:AL107"/>
    <mergeCell ref="AM106:AM107"/>
    <mergeCell ref="AE114:AE115"/>
    <mergeCell ref="R114:R115"/>
    <mergeCell ref="Y106:Y107"/>
    <mergeCell ref="Z106:Z107"/>
    <mergeCell ref="AA106:AA107"/>
    <mergeCell ref="BE106:BE107"/>
    <mergeCell ref="BF106:BF107"/>
    <mergeCell ref="A108:A109"/>
    <mergeCell ref="D108:D109"/>
    <mergeCell ref="E108:E109"/>
    <mergeCell ref="F108:F109"/>
    <mergeCell ref="G108:G109"/>
    <mergeCell ref="H108:H109"/>
    <mergeCell ref="I108:I109"/>
    <mergeCell ref="J108:J109"/>
    <mergeCell ref="AW106:AW107"/>
    <mergeCell ref="AX106:AX107"/>
    <mergeCell ref="AY106:AY107"/>
    <mergeCell ref="AZ106:AZ107"/>
    <mergeCell ref="BB106:BB107"/>
    <mergeCell ref="BC106:BC107"/>
    <mergeCell ref="AN106:AN107"/>
    <mergeCell ref="AP106:AP107"/>
    <mergeCell ref="AQ106:AQ107"/>
    <mergeCell ref="AR106:AR107"/>
    <mergeCell ref="AS106:AS107"/>
    <mergeCell ref="AT106:AT107"/>
    <mergeCell ref="AB106:AB107"/>
    <mergeCell ref="AD106:AD107"/>
    <mergeCell ref="AE106:AE107"/>
    <mergeCell ref="AE108:AE109"/>
    <mergeCell ref="AF108:AF109"/>
    <mergeCell ref="O108:O109"/>
    <mergeCell ref="P108:P109"/>
    <mergeCell ref="R108:R109"/>
    <mergeCell ref="AJ104:AJ105"/>
    <mergeCell ref="AK104:AK105"/>
    <mergeCell ref="AF106:AF107"/>
    <mergeCell ref="AG106:AG107"/>
    <mergeCell ref="AH106:AH107"/>
    <mergeCell ref="L106:L107"/>
    <mergeCell ref="M106:M107"/>
    <mergeCell ref="N106:N107"/>
    <mergeCell ref="O106:O107"/>
    <mergeCell ref="P106:P107"/>
    <mergeCell ref="R106:R107"/>
    <mergeCell ref="AG110:AG111"/>
    <mergeCell ref="AH110:AH111"/>
    <mergeCell ref="X104:X105"/>
    <mergeCell ref="Y104:Y105"/>
    <mergeCell ref="Z104:Z105"/>
    <mergeCell ref="N110:N111"/>
    <mergeCell ref="O110:O111"/>
    <mergeCell ref="P110:P111"/>
    <mergeCell ref="R110:R111"/>
    <mergeCell ref="S108:S109"/>
    <mergeCell ref="T108:T109"/>
    <mergeCell ref="U108:U109"/>
    <mergeCell ref="V108:V109"/>
    <mergeCell ref="X108:X109"/>
    <mergeCell ref="U110:U111"/>
    <mergeCell ref="V110:V111"/>
    <mergeCell ref="X110:X111"/>
    <mergeCell ref="Y110:Y111"/>
    <mergeCell ref="BE108:BE109"/>
    <mergeCell ref="BF108:BF109"/>
    <mergeCell ref="A110:A111"/>
    <mergeCell ref="D110:D111"/>
    <mergeCell ref="E110:E111"/>
    <mergeCell ref="F110:F111"/>
    <mergeCell ref="G110:G111"/>
    <mergeCell ref="H110:H111"/>
    <mergeCell ref="I110:I111"/>
    <mergeCell ref="J110:J111"/>
    <mergeCell ref="AV108:AV109"/>
    <mergeCell ref="AW108:AW109"/>
    <mergeCell ref="AX108:AX109"/>
    <mergeCell ref="AY108:AY109"/>
    <mergeCell ref="AZ108:AZ109"/>
    <mergeCell ref="BB108:BB109"/>
    <mergeCell ref="AJ108:AJ109"/>
    <mergeCell ref="AK108:AK109"/>
    <mergeCell ref="BE110:BE111"/>
    <mergeCell ref="BF110:BF111"/>
    <mergeCell ref="AL108:AL109"/>
    <mergeCell ref="AM108:AM109"/>
    <mergeCell ref="AN108:AN109"/>
    <mergeCell ref="AP108:AP109"/>
    <mergeCell ref="Z108:Z109"/>
    <mergeCell ref="AA108:AA109"/>
    <mergeCell ref="AB108:AB109"/>
    <mergeCell ref="AD108:AD109"/>
    <mergeCell ref="Y108:Y109"/>
    <mergeCell ref="L108:L109"/>
    <mergeCell ref="M108:M109"/>
    <mergeCell ref="N108:N109"/>
    <mergeCell ref="A112:A113"/>
    <mergeCell ref="D112:D113"/>
    <mergeCell ref="E112:E113"/>
    <mergeCell ref="F112:F113"/>
    <mergeCell ref="G112:G113"/>
    <mergeCell ref="H112:H113"/>
    <mergeCell ref="I112:I113"/>
    <mergeCell ref="J112:J113"/>
    <mergeCell ref="AX110:AX111"/>
    <mergeCell ref="AY110:AY111"/>
    <mergeCell ref="AZ110:AZ111"/>
    <mergeCell ref="BB110:BB111"/>
    <mergeCell ref="BC110:BC111"/>
    <mergeCell ref="BD110:BD111"/>
    <mergeCell ref="AQ110:AQ111"/>
    <mergeCell ref="AR110:AR111"/>
    <mergeCell ref="AS110:AS111"/>
    <mergeCell ref="AT110:AT111"/>
    <mergeCell ref="AV110:AV111"/>
    <mergeCell ref="AW110:AW111"/>
    <mergeCell ref="AJ110:AJ111"/>
    <mergeCell ref="AK110:AK111"/>
    <mergeCell ref="AL110:AL111"/>
    <mergeCell ref="AM110:AM111"/>
    <mergeCell ref="AN110:AN111"/>
    <mergeCell ref="AP110:AP111"/>
    <mergeCell ref="Z110:Z111"/>
    <mergeCell ref="AA110:AA111"/>
    <mergeCell ref="AB110:AB111"/>
    <mergeCell ref="AD110:AD111"/>
    <mergeCell ref="L110:L111"/>
    <mergeCell ref="M110:M111"/>
    <mergeCell ref="AD104:AD105"/>
    <mergeCell ref="AE104:AE105"/>
    <mergeCell ref="AF104:AF105"/>
    <mergeCell ref="BB114:BB115"/>
    <mergeCell ref="BC114:BC115"/>
    <mergeCell ref="BD114:BD115"/>
    <mergeCell ref="A114:A115"/>
    <mergeCell ref="D114:D115"/>
    <mergeCell ref="E114:E115"/>
    <mergeCell ref="F114:F115"/>
    <mergeCell ref="G114:G115"/>
    <mergeCell ref="H114:H115"/>
    <mergeCell ref="I114:I115"/>
    <mergeCell ref="AV112:AV113"/>
    <mergeCell ref="AW112:AW113"/>
    <mergeCell ref="AX112:AX113"/>
    <mergeCell ref="AY112:AY113"/>
    <mergeCell ref="AZ112:AZ113"/>
    <mergeCell ref="BB112:BB113"/>
    <mergeCell ref="AN112:AN113"/>
    <mergeCell ref="AP112:AP113"/>
    <mergeCell ref="AQ112:AQ113"/>
    <mergeCell ref="AR112:AR113"/>
    <mergeCell ref="AS112:AS113"/>
    <mergeCell ref="AT112:AT113"/>
    <mergeCell ref="AG112:AG113"/>
    <mergeCell ref="AH112:AH113"/>
    <mergeCell ref="AJ112:AJ113"/>
    <mergeCell ref="AK112:AK113"/>
    <mergeCell ref="AL112:AL113"/>
    <mergeCell ref="AM112:AM113"/>
    <mergeCell ref="Z112:Z113"/>
    <mergeCell ref="S114:S115"/>
    <mergeCell ref="T114:T115"/>
    <mergeCell ref="U114:U115"/>
    <mergeCell ref="V114:V115"/>
    <mergeCell ref="X114:X115"/>
    <mergeCell ref="J114:J115"/>
    <mergeCell ref="L114:L115"/>
    <mergeCell ref="M114:M115"/>
    <mergeCell ref="N114:N115"/>
    <mergeCell ref="O114:O115"/>
    <mergeCell ref="P114:P115"/>
    <mergeCell ref="BD112:BD113"/>
    <mergeCell ref="BE112:BE113"/>
    <mergeCell ref="BF112:BF113"/>
    <mergeCell ref="T112:T113"/>
    <mergeCell ref="U112:U113"/>
    <mergeCell ref="V112:V113"/>
    <mergeCell ref="X112:X113"/>
    <mergeCell ref="Y112:Y113"/>
    <mergeCell ref="L112:L113"/>
    <mergeCell ref="M112:M113"/>
    <mergeCell ref="N112:N113"/>
    <mergeCell ref="O112:O113"/>
    <mergeCell ref="P112:P113"/>
    <mergeCell ref="R112:R113"/>
    <mergeCell ref="AA112:AA113"/>
    <mergeCell ref="AB112:AB113"/>
    <mergeCell ref="AD112:AD113"/>
    <mergeCell ref="AE112:AE113"/>
    <mergeCell ref="AF112:AF113"/>
    <mergeCell ref="S112:S113"/>
    <mergeCell ref="AD114:AD115"/>
    <mergeCell ref="BE114:BE115"/>
    <mergeCell ref="BF114:BF115"/>
    <mergeCell ref="A116:A117"/>
    <mergeCell ref="D116:D117"/>
    <mergeCell ref="E116:E117"/>
    <mergeCell ref="F116:F117"/>
    <mergeCell ref="G116:G117"/>
    <mergeCell ref="AT114:AT115"/>
    <mergeCell ref="AV114:AV115"/>
    <mergeCell ref="AW114:AW115"/>
    <mergeCell ref="AX114:AX115"/>
    <mergeCell ref="AY114:AY115"/>
    <mergeCell ref="AZ114:AZ115"/>
    <mergeCell ref="AM114:AM115"/>
    <mergeCell ref="AN114:AN115"/>
    <mergeCell ref="AP114:AP115"/>
    <mergeCell ref="AQ114:AQ115"/>
    <mergeCell ref="AR114:AR115"/>
    <mergeCell ref="AS114:AS115"/>
    <mergeCell ref="AF114:AF115"/>
    <mergeCell ref="AG114:AG115"/>
    <mergeCell ref="AH114:AH115"/>
    <mergeCell ref="AJ114:AJ115"/>
    <mergeCell ref="AK114:AK115"/>
    <mergeCell ref="AL114:AL115"/>
    <mergeCell ref="Y114:Y115"/>
    <mergeCell ref="Z114:Z115"/>
    <mergeCell ref="AA114:AA115"/>
    <mergeCell ref="AB114:AB115"/>
    <mergeCell ref="AH116:AH117"/>
    <mergeCell ref="AJ116:AJ117"/>
    <mergeCell ref="V116:V117"/>
    <mergeCell ref="O116:O117"/>
    <mergeCell ref="P116:P117"/>
    <mergeCell ref="R116:R117"/>
    <mergeCell ref="S116:S117"/>
    <mergeCell ref="T116:T117"/>
    <mergeCell ref="U116:U117"/>
    <mergeCell ref="H116:H117"/>
    <mergeCell ref="I116:I117"/>
    <mergeCell ref="J116:J117"/>
    <mergeCell ref="L116:L117"/>
    <mergeCell ref="M116:M117"/>
    <mergeCell ref="N116:N117"/>
    <mergeCell ref="BF116:BF117"/>
    <mergeCell ref="A118:E118"/>
    <mergeCell ref="A119:A121"/>
    <mergeCell ref="D119:D121"/>
    <mergeCell ref="E119:E121"/>
    <mergeCell ref="F119:F121"/>
    <mergeCell ref="G119:G121"/>
    <mergeCell ref="H119:H121"/>
    <mergeCell ref="I119:I121"/>
    <mergeCell ref="J119:J121"/>
    <mergeCell ref="AY116:AY117"/>
    <mergeCell ref="AZ116:AZ117"/>
    <mergeCell ref="BB116:BB117"/>
    <mergeCell ref="BC116:BC117"/>
    <mergeCell ref="BD116:BD117"/>
    <mergeCell ref="BE116:BE117"/>
    <mergeCell ref="AR116:AR117"/>
    <mergeCell ref="AS116:AS117"/>
    <mergeCell ref="AT116:AT117"/>
    <mergeCell ref="AV116:AV117"/>
    <mergeCell ref="AW116:AW117"/>
    <mergeCell ref="AX116:AX117"/>
    <mergeCell ref="AK116:AK117"/>
    <mergeCell ref="AL116:AL117"/>
    <mergeCell ref="AM116:AM117"/>
    <mergeCell ref="AN116:AN117"/>
    <mergeCell ref="AP116:AP117"/>
    <mergeCell ref="AQ116:AQ117"/>
    <mergeCell ref="AD116:AD117"/>
    <mergeCell ref="AE116:AE117"/>
    <mergeCell ref="AF116:AF117"/>
    <mergeCell ref="AG116:AG117"/>
    <mergeCell ref="Z119:Z121"/>
    <mergeCell ref="AA119:AA121"/>
    <mergeCell ref="AB119:AB121"/>
    <mergeCell ref="AD119:AD121"/>
    <mergeCell ref="AE119:AE121"/>
    <mergeCell ref="AF119:AF121"/>
    <mergeCell ref="AL119:AL121"/>
    <mergeCell ref="AM119:AM121"/>
    <mergeCell ref="V119:V121"/>
    <mergeCell ref="X119:X121"/>
    <mergeCell ref="Y119:Y121"/>
    <mergeCell ref="L119:L121"/>
    <mergeCell ref="M119:M121"/>
    <mergeCell ref="N119:N121"/>
    <mergeCell ref="O119:O121"/>
    <mergeCell ref="P119:P121"/>
    <mergeCell ref="R119:R121"/>
    <mergeCell ref="H123:H124"/>
    <mergeCell ref="I123:I124"/>
    <mergeCell ref="J123:J124"/>
    <mergeCell ref="L123:L124"/>
    <mergeCell ref="M123:M124"/>
    <mergeCell ref="N123:N124"/>
    <mergeCell ref="V123:V124"/>
    <mergeCell ref="X123:X124"/>
    <mergeCell ref="Y123:Y124"/>
    <mergeCell ref="BF119:BF121"/>
    <mergeCell ref="A122:E122"/>
    <mergeCell ref="A123:A124"/>
    <mergeCell ref="D123:D124"/>
    <mergeCell ref="E123:E124"/>
    <mergeCell ref="F123:F124"/>
    <mergeCell ref="G123:G124"/>
    <mergeCell ref="AV119:AV121"/>
    <mergeCell ref="AW119:AW121"/>
    <mergeCell ref="AX119:AX121"/>
    <mergeCell ref="AY119:AY121"/>
    <mergeCell ref="AZ119:AZ121"/>
    <mergeCell ref="BB119:BB121"/>
    <mergeCell ref="AN119:AN121"/>
    <mergeCell ref="AP119:AP121"/>
    <mergeCell ref="AQ119:AQ121"/>
    <mergeCell ref="AR119:AR121"/>
    <mergeCell ref="AS119:AS121"/>
    <mergeCell ref="AT119:AT121"/>
    <mergeCell ref="AG119:AG121"/>
    <mergeCell ref="AH119:AH121"/>
    <mergeCell ref="AJ119:AJ121"/>
    <mergeCell ref="AK119:AK121"/>
    <mergeCell ref="AD123:AD124"/>
    <mergeCell ref="AE123:AE124"/>
    <mergeCell ref="AF123:AF124"/>
    <mergeCell ref="AG123:AG124"/>
    <mergeCell ref="AH123:AH124"/>
    <mergeCell ref="AJ123:AJ124"/>
    <mergeCell ref="S119:S121"/>
    <mergeCell ref="T119:T121"/>
    <mergeCell ref="U119:U121"/>
    <mergeCell ref="Z123:Z124"/>
    <mergeCell ref="AA123:AA124"/>
    <mergeCell ref="AB123:AB124"/>
    <mergeCell ref="O123:O124"/>
    <mergeCell ref="P123:P124"/>
    <mergeCell ref="R123:R124"/>
    <mergeCell ref="S123:S124"/>
    <mergeCell ref="T123:T124"/>
    <mergeCell ref="U123:U124"/>
    <mergeCell ref="BF123:BF124"/>
    <mergeCell ref="AY123:AY124"/>
    <mergeCell ref="AZ123:AZ124"/>
    <mergeCell ref="BB123:BB124"/>
    <mergeCell ref="BC123:BC124"/>
    <mergeCell ref="BD123:BD124"/>
    <mergeCell ref="BE123:BE124"/>
    <mergeCell ref="AR123:AR124"/>
    <mergeCell ref="AS123:AS124"/>
    <mergeCell ref="AT123:AT124"/>
    <mergeCell ref="AV123:AV124"/>
    <mergeCell ref="AW123:AW124"/>
    <mergeCell ref="AX123:AX124"/>
    <mergeCell ref="AK123:AK124"/>
    <mergeCell ref="AL123:AL124"/>
    <mergeCell ref="AM123:AM124"/>
    <mergeCell ref="AN123:AN124"/>
    <mergeCell ref="AP123:AP124"/>
    <mergeCell ref="AQ123:AQ124"/>
    <mergeCell ref="Q99:Q124"/>
    <mergeCell ref="BC119:BC121"/>
    <mergeCell ref="BD119:BD121"/>
    <mergeCell ref="BE119:BE121"/>
    <mergeCell ref="A24:A25"/>
    <mergeCell ref="D24:D25"/>
    <mergeCell ref="E24:E25"/>
    <mergeCell ref="A26:A27"/>
    <mergeCell ref="D26:D27"/>
    <mergeCell ref="E26:E27"/>
    <mergeCell ref="A30:A31"/>
    <mergeCell ref="D30:D31"/>
    <mergeCell ref="E30:E31"/>
    <mergeCell ref="A34:A35"/>
    <mergeCell ref="D34:D35"/>
    <mergeCell ref="E34:E35"/>
    <mergeCell ref="A38:A39"/>
    <mergeCell ref="D38:D39"/>
    <mergeCell ref="E38:E39"/>
    <mergeCell ref="A40:A41"/>
    <mergeCell ref="D40:D41"/>
    <mergeCell ref="E40:E41"/>
    <mergeCell ref="A28:A29"/>
    <mergeCell ref="D28:D29"/>
    <mergeCell ref="E28:E29"/>
    <mergeCell ref="A77:A78"/>
    <mergeCell ref="D77:D78"/>
    <mergeCell ref="E77:E78"/>
    <mergeCell ref="A64:BD65"/>
    <mergeCell ref="D62:D63"/>
    <mergeCell ref="E62:E63"/>
    <mergeCell ref="F62:F63"/>
    <mergeCell ref="G62:G63"/>
    <mergeCell ref="H62:H63"/>
    <mergeCell ref="BB58:BB59"/>
    <mergeCell ref="BC58:BC59"/>
    <mergeCell ref="BD58:BD59"/>
    <mergeCell ref="AI58:AI63"/>
    <mergeCell ref="AJ58:AJ59"/>
    <mergeCell ref="AK58:AK59"/>
    <mergeCell ref="AL58:AL59"/>
    <mergeCell ref="AH75:AH76"/>
    <mergeCell ref="AJ75:AJ76"/>
    <mergeCell ref="AK75:AK76"/>
    <mergeCell ref="AL75:AL76"/>
    <mergeCell ref="AM75:AM76"/>
    <mergeCell ref="AB75:AB76"/>
    <mergeCell ref="AD75:AD76"/>
    <mergeCell ref="AE75:AE76"/>
    <mergeCell ref="AF75:AF76"/>
    <mergeCell ref="AG75:AG76"/>
    <mergeCell ref="J75:J76"/>
    <mergeCell ref="L75:L76"/>
    <mergeCell ref="M75:M76"/>
    <mergeCell ref="N75:N76"/>
    <mergeCell ref="O75:O76"/>
    <mergeCell ref="AP68:AP69"/>
    <mergeCell ref="A93:A94"/>
    <mergeCell ref="D93:D94"/>
    <mergeCell ref="E93:E94"/>
    <mergeCell ref="H60:H61"/>
    <mergeCell ref="H93:H94"/>
    <mergeCell ref="F8:F9"/>
    <mergeCell ref="F10:F11"/>
    <mergeCell ref="F38:F39"/>
    <mergeCell ref="F40:F41"/>
    <mergeCell ref="F56:F57"/>
    <mergeCell ref="G8:G9"/>
    <mergeCell ref="G10:G11"/>
    <mergeCell ref="G38:G39"/>
    <mergeCell ref="G40:G41"/>
    <mergeCell ref="G56:G57"/>
    <mergeCell ref="F14:F15"/>
    <mergeCell ref="F44:F45"/>
    <mergeCell ref="G14:G15"/>
    <mergeCell ref="G44:G45"/>
    <mergeCell ref="F18:F19"/>
    <mergeCell ref="G18:G19"/>
    <mergeCell ref="F24:F25"/>
    <mergeCell ref="F26:F27"/>
    <mergeCell ref="F71:F72"/>
    <mergeCell ref="F73:F74"/>
    <mergeCell ref="F89:F90"/>
    <mergeCell ref="G24:G25"/>
    <mergeCell ref="G26:G27"/>
    <mergeCell ref="G71:G72"/>
    <mergeCell ref="A44:A45"/>
    <mergeCell ref="D44:D45"/>
    <mergeCell ref="E44:E45"/>
    <mergeCell ref="F93:F94"/>
    <mergeCell ref="G93:G94"/>
    <mergeCell ref="I8:I9"/>
    <mergeCell ref="I10:I11"/>
    <mergeCell ref="I38:I39"/>
    <mergeCell ref="I40:I41"/>
    <mergeCell ref="I56:I57"/>
    <mergeCell ref="I93:I94"/>
    <mergeCell ref="H8:H9"/>
    <mergeCell ref="H10:H11"/>
    <mergeCell ref="H14:H15"/>
    <mergeCell ref="H18:H19"/>
    <mergeCell ref="H24:H25"/>
    <mergeCell ref="H26:H27"/>
    <mergeCell ref="H30:H31"/>
    <mergeCell ref="H34:H35"/>
    <mergeCell ref="H38:H39"/>
    <mergeCell ref="H40:H41"/>
    <mergeCell ref="H44:H45"/>
    <mergeCell ref="H56:H57"/>
    <mergeCell ref="H71:H72"/>
    <mergeCell ref="H73:H74"/>
    <mergeCell ref="G58:G59"/>
    <mergeCell ref="H58:H59"/>
    <mergeCell ref="I58:I59"/>
    <mergeCell ref="I52:I53"/>
    <mergeCell ref="F28:F29"/>
    <mergeCell ref="G28:G29"/>
    <mergeCell ref="I30:I31"/>
    <mergeCell ref="H91:H92"/>
    <mergeCell ref="I91:I92"/>
    <mergeCell ref="A81:BD82"/>
    <mergeCell ref="L20:P21"/>
    <mergeCell ref="J30:J31"/>
    <mergeCell ref="A54:BD55"/>
    <mergeCell ref="A58:A59"/>
    <mergeCell ref="D58:D59"/>
    <mergeCell ref="E58:E59"/>
    <mergeCell ref="F58:F59"/>
    <mergeCell ref="G73:G74"/>
    <mergeCell ref="G89:G90"/>
    <mergeCell ref="F30:F31"/>
    <mergeCell ref="F77:F78"/>
    <mergeCell ref="G30:G31"/>
    <mergeCell ref="G77:G78"/>
    <mergeCell ref="F34:F35"/>
    <mergeCell ref="G34:G35"/>
    <mergeCell ref="F60:F61"/>
    <mergeCell ref="G60:G61"/>
    <mergeCell ref="A89:A90"/>
    <mergeCell ref="D89:D90"/>
    <mergeCell ref="E89:E90"/>
    <mergeCell ref="A56:A57"/>
    <mergeCell ref="D56:D57"/>
    <mergeCell ref="E56:E57"/>
    <mergeCell ref="A60:A61"/>
    <mergeCell ref="D60:D61"/>
    <mergeCell ref="E60:E61"/>
    <mergeCell ref="A71:A72"/>
    <mergeCell ref="D71:D72"/>
    <mergeCell ref="E71:E72"/>
    <mergeCell ref="A73:A74"/>
    <mergeCell ref="D73:D74"/>
    <mergeCell ref="E73:E74"/>
    <mergeCell ref="H77:H78"/>
    <mergeCell ref="H89:H90"/>
    <mergeCell ref="J56:J57"/>
    <mergeCell ref="I14:I15"/>
    <mergeCell ref="I44:I45"/>
    <mergeCell ref="J14:J15"/>
    <mergeCell ref="J44:J45"/>
    <mergeCell ref="I60:I61"/>
    <mergeCell ref="J60:J61"/>
    <mergeCell ref="I18:I19"/>
    <mergeCell ref="J18:J19"/>
    <mergeCell ref="I24:I25"/>
    <mergeCell ref="I71:I72"/>
    <mergeCell ref="I89:I90"/>
    <mergeCell ref="J24:J25"/>
    <mergeCell ref="J71:J72"/>
    <mergeCell ref="J89:J90"/>
    <mergeCell ref="I26:I27"/>
    <mergeCell ref="I73:I74"/>
    <mergeCell ref="J26:J27"/>
    <mergeCell ref="J73:J74"/>
    <mergeCell ref="I77:I78"/>
    <mergeCell ref="J77:J78"/>
    <mergeCell ref="I34:I35"/>
    <mergeCell ref="J34:J35"/>
    <mergeCell ref="F70:J70"/>
    <mergeCell ref="G79:G80"/>
    <mergeCell ref="H79:H80"/>
    <mergeCell ref="I79:I80"/>
    <mergeCell ref="J79:J80"/>
    <mergeCell ref="I62:I63"/>
    <mergeCell ref="J62:J63"/>
    <mergeCell ref="T26:T27"/>
    <mergeCell ref="T30:T31"/>
    <mergeCell ref="T34:T35"/>
    <mergeCell ref="T38:T39"/>
    <mergeCell ref="T40:T41"/>
    <mergeCell ref="T44:T45"/>
    <mergeCell ref="T56:T57"/>
    <mergeCell ref="T71:T72"/>
    <mergeCell ref="T73:T74"/>
    <mergeCell ref="T77:T78"/>
    <mergeCell ref="T89:T90"/>
    <mergeCell ref="R38:R39"/>
    <mergeCell ref="R40:R41"/>
    <mergeCell ref="R56:R57"/>
    <mergeCell ref="S38:S39"/>
    <mergeCell ref="S40:S41"/>
    <mergeCell ref="S56:S57"/>
    <mergeCell ref="R44:R45"/>
    <mergeCell ref="R26:R27"/>
    <mergeCell ref="R71:R72"/>
    <mergeCell ref="R60:R61"/>
    <mergeCell ref="S44:S45"/>
    <mergeCell ref="T85:T86"/>
    <mergeCell ref="T79:T80"/>
    <mergeCell ref="R66:R67"/>
    <mergeCell ref="S66:S67"/>
    <mergeCell ref="T66:T67"/>
    <mergeCell ref="R46:R47"/>
    <mergeCell ref="S46:S47"/>
    <mergeCell ref="T46:T47"/>
    <mergeCell ref="T32:T33"/>
    <mergeCell ref="T93:T94"/>
    <mergeCell ref="V8:V9"/>
    <mergeCell ref="V10:V11"/>
    <mergeCell ref="V38:V39"/>
    <mergeCell ref="V40:V41"/>
    <mergeCell ref="V56:V57"/>
    <mergeCell ref="U14:U15"/>
    <mergeCell ref="U44:U45"/>
    <mergeCell ref="V14:V15"/>
    <mergeCell ref="V44:V45"/>
    <mergeCell ref="U60:U61"/>
    <mergeCell ref="V60:V61"/>
    <mergeCell ref="U18:U19"/>
    <mergeCell ref="V18:V19"/>
    <mergeCell ref="U24:U25"/>
    <mergeCell ref="R73:R74"/>
    <mergeCell ref="R89:R90"/>
    <mergeCell ref="S24:S25"/>
    <mergeCell ref="S26:S27"/>
    <mergeCell ref="S71:S72"/>
    <mergeCell ref="S73:S74"/>
    <mergeCell ref="S89:S90"/>
    <mergeCell ref="R30:R31"/>
    <mergeCell ref="R77:R78"/>
    <mergeCell ref="S30:S31"/>
    <mergeCell ref="S77:S78"/>
    <mergeCell ref="R34:R35"/>
    <mergeCell ref="S34:S35"/>
    <mergeCell ref="R8:R9"/>
    <mergeCell ref="R10:R11"/>
    <mergeCell ref="S8:S9"/>
    <mergeCell ref="T24:T25"/>
    <mergeCell ref="Z77:Z78"/>
    <mergeCell ref="Z89:Z90"/>
    <mergeCell ref="Z46:Z47"/>
    <mergeCell ref="Z28:Z29"/>
    <mergeCell ref="S10:S11"/>
    <mergeCell ref="R14:R15"/>
    <mergeCell ref="U71:U72"/>
    <mergeCell ref="U89:U90"/>
    <mergeCell ref="V24:V25"/>
    <mergeCell ref="V71:V72"/>
    <mergeCell ref="V89:V90"/>
    <mergeCell ref="U93:U94"/>
    <mergeCell ref="V93:V94"/>
    <mergeCell ref="U77:U78"/>
    <mergeCell ref="V77:V78"/>
    <mergeCell ref="U73:U74"/>
    <mergeCell ref="V73:V74"/>
    <mergeCell ref="V26:V27"/>
    <mergeCell ref="U26:U27"/>
    <mergeCell ref="U30:U31"/>
    <mergeCell ref="V30:V31"/>
    <mergeCell ref="U34:U35"/>
    <mergeCell ref="V34:V35"/>
    <mergeCell ref="U38:U39"/>
    <mergeCell ref="U40:U41"/>
    <mergeCell ref="U56:U57"/>
    <mergeCell ref="U91:U92"/>
    <mergeCell ref="V91:V92"/>
    <mergeCell ref="V75:V76"/>
    <mergeCell ref="V28:V29"/>
    <mergeCell ref="R20:V21"/>
    <mergeCell ref="T91:T92"/>
    <mergeCell ref="X28:X29"/>
    <mergeCell ref="Y28:Y29"/>
    <mergeCell ref="Z8:Z9"/>
    <mergeCell ref="Z10:Z11"/>
    <mergeCell ref="Z14:Z15"/>
    <mergeCell ref="Z18:Z19"/>
    <mergeCell ref="Z24:Z25"/>
    <mergeCell ref="Z26:Z27"/>
    <mergeCell ref="Z30:Z31"/>
    <mergeCell ref="Z34:Z35"/>
    <mergeCell ref="Z38:Z39"/>
    <mergeCell ref="Z40:Z41"/>
    <mergeCell ref="Z44:Z45"/>
    <mergeCell ref="Z56:Z57"/>
    <mergeCell ref="Z60:Z61"/>
    <mergeCell ref="Z71:Z72"/>
    <mergeCell ref="Z73:Z74"/>
    <mergeCell ref="X58:X59"/>
    <mergeCell ref="Y58:Y59"/>
    <mergeCell ref="Z58:Z59"/>
    <mergeCell ref="X71:X72"/>
    <mergeCell ref="X73:X74"/>
    <mergeCell ref="X89:X90"/>
    <mergeCell ref="Y24:Y25"/>
    <mergeCell ref="Y26:Y27"/>
    <mergeCell ref="Y71:Y72"/>
    <mergeCell ref="Y73:Y74"/>
    <mergeCell ref="Y89:Y90"/>
    <mergeCell ref="X30:X31"/>
    <mergeCell ref="X77:X78"/>
    <mergeCell ref="Y30:Y31"/>
    <mergeCell ref="Y77:Y78"/>
    <mergeCell ref="X34:X35"/>
    <mergeCell ref="Y34:Y35"/>
    <mergeCell ref="X60:X61"/>
    <mergeCell ref="Y60:Y61"/>
    <mergeCell ref="X93:X94"/>
    <mergeCell ref="Y93:Y94"/>
    <mergeCell ref="X91:X92"/>
    <mergeCell ref="Y91:Y92"/>
    <mergeCell ref="X38:X39"/>
    <mergeCell ref="X40:X41"/>
    <mergeCell ref="X56:X57"/>
    <mergeCell ref="Y38:Y39"/>
    <mergeCell ref="Y40:Y41"/>
    <mergeCell ref="Y56:Y57"/>
    <mergeCell ref="X44:X45"/>
    <mergeCell ref="Y44:Y45"/>
    <mergeCell ref="X24:X25"/>
    <mergeCell ref="X26:X27"/>
    <mergeCell ref="X46:X47"/>
    <mergeCell ref="Y46:Y47"/>
    <mergeCell ref="AA8:AA9"/>
    <mergeCell ref="AA10:AA11"/>
    <mergeCell ref="AA38:AA39"/>
    <mergeCell ref="AA40:AA41"/>
    <mergeCell ref="AA56:AA57"/>
    <mergeCell ref="AB8:AB9"/>
    <mergeCell ref="AB10:AB11"/>
    <mergeCell ref="AB38:AB39"/>
    <mergeCell ref="AB40:AB41"/>
    <mergeCell ref="AB56:AB57"/>
    <mergeCell ref="AA14:AA15"/>
    <mergeCell ref="AA44:AA45"/>
    <mergeCell ref="AB14:AB15"/>
    <mergeCell ref="AB44:AB45"/>
    <mergeCell ref="AA60:AA61"/>
    <mergeCell ref="AB60:AB61"/>
    <mergeCell ref="AA18:AA19"/>
    <mergeCell ref="AB18:AB19"/>
    <mergeCell ref="AA24:AA25"/>
    <mergeCell ref="AA46:AA47"/>
    <mergeCell ref="AB46:AB47"/>
    <mergeCell ref="AA28:AA29"/>
    <mergeCell ref="AB28:AB29"/>
    <mergeCell ref="X20:AB21"/>
    <mergeCell ref="X8:X9"/>
    <mergeCell ref="X10:X11"/>
    <mergeCell ref="Y8:Y9"/>
    <mergeCell ref="Y10:Y11"/>
    <mergeCell ref="X14:X15"/>
    <mergeCell ref="Y14:Y15"/>
    <mergeCell ref="X18:X19"/>
    <mergeCell ref="Y18:Y19"/>
    <mergeCell ref="AA71:AA72"/>
    <mergeCell ref="AA89:AA90"/>
    <mergeCell ref="AB24:AB25"/>
    <mergeCell ref="AB71:AB72"/>
    <mergeCell ref="AB89:AB90"/>
    <mergeCell ref="AA93:AA94"/>
    <mergeCell ref="AB93:AB94"/>
    <mergeCell ref="AA77:AA78"/>
    <mergeCell ref="AB77:AB78"/>
    <mergeCell ref="AA73:AA74"/>
    <mergeCell ref="AB73:AB74"/>
    <mergeCell ref="AA34:AA35"/>
    <mergeCell ref="AB34:AB35"/>
    <mergeCell ref="AA26:AA27"/>
    <mergeCell ref="AB26:AB27"/>
    <mergeCell ref="AA30:AA31"/>
    <mergeCell ref="AB30:AB31"/>
    <mergeCell ref="AB79:AB80"/>
    <mergeCell ref="AA58:AA59"/>
    <mergeCell ref="AB58:AB59"/>
    <mergeCell ref="AE44:AE45"/>
    <mergeCell ref="AD60:AD61"/>
    <mergeCell ref="AE60:AE61"/>
    <mergeCell ref="AD18:AD19"/>
    <mergeCell ref="AE18:AE19"/>
    <mergeCell ref="AD24:AD25"/>
    <mergeCell ref="AD26:AD27"/>
    <mergeCell ref="AF89:AF90"/>
    <mergeCell ref="AF71:AF72"/>
    <mergeCell ref="AF60:AF61"/>
    <mergeCell ref="AF93:AF94"/>
    <mergeCell ref="AF8:AF9"/>
    <mergeCell ref="AF10:AF11"/>
    <mergeCell ref="AF14:AF15"/>
    <mergeCell ref="AF18:AF19"/>
    <mergeCell ref="AF24:AF25"/>
    <mergeCell ref="AF26:AF27"/>
    <mergeCell ref="AF30:AF31"/>
    <mergeCell ref="AF34:AF35"/>
    <mergeCell ref="AF38:AF39"/>
    <mergeCell ref="AF40:AF41"/>
    <mergeCell ref="AF44:AF45"/>
    <mergeCell ref="AF56:AF57"/>
    <mergeCell ref="AF73:AF74"/>
    <mergeCell ref="AF77:AF78"/>
    <mergeCell ref="AF91:AF92"/>
    <mergeCell ref="AF79:AF80"/>
    <mergeCell ref="AD46:AD47"/>
    <mergeCell ref="AD71:AD72"/>
    <mergeCell ref="AD73:AD74"/>
    <mergeCell ref="AD79:AD80"/>
    <mergeCell ref="AE79:AE80"/>
    <mergeCell ref="AD89:AD90"/>
    <mergeCell ref="AE24:AE25"/>
    <mergeCell ref="AE26:AE27"/>
    <mergeCell ref="AE71:AE72"/>
    <mergeCell ref="AE73:AE74"/>
    <mergeCell ref="AE89:AE90"/>
    <mergeCell ref="AD30:AD31"/>
    <mergeCell ref="AD77:AD78"/>
    <mergeCell ref="AE30:AE31"/>
    <mergeCell ref="AE77:AE78"/>
    <mergeCell ref="AD34:AD35"/>
    <mergeCell ref="AD93:AD94"/>
    <mergeCell ref="AE34:AE35"/>
    <mergeCell ref="AE93:AE94"/>
    <mergeCell ref="AG8:AG9"/>
    <mergeCell ref="AG10:AG11"/>
    <mergeCell ref="AG38:AG39"/>
    <mergeCell ref="AG40:AG41"/>
    <mergeCell ref="AG56:AG57"/>
    <mergeCell ref="AG93:AG94"/>
    <mergeCell ref="AD8:AD9"/>
    <mergeCell ref="AD10:AD11"/>
    <mergeCell ref="AD38:AD39"/>
    <mergeCell ref="AD40:AD41"/>
    <mergeCell ref="AD56:AD57"/>
    <mergeCell ref="AE8:AE9"/>
    <mergeCell ref="AE10:AE11"/>
    <mergeCell ref="AE38:AE39"/>
    <mergeCell ref="AE40:AE41"/>
    <mergeCell ref="AE56:AE57"/>
    <mergeCell ref="AD44:AD45"/>
    <mergeCell ref="AE14:AE15"/>
    <mergeCell ref="AH56:AH57"/>
    <mergeCell ref="AG14:AG15"/>
    <mergeCell ref="AG44:AG45"/>
    <mergeCell ref="AH14:AH15"/>
    <mergeCell ref="AH44:AH45"/>
    <mergeCell ref="AG60:AG61"/>
    <mergeCell ref="AH60:AH61"/>
    <mergeCell ref="AG18:AG19"/>
    <mergeCell ref="AH18:AH19"/>
    <mergeCell ref="AG24:AG25"/>
    <mergeCell ref="AG71:AG72"/>
    <mergeCell ref="AG89:AG90"/>
    <mergeCell ref="AH24:AH25"/>
    <mergeCell ref="AH71:AH72"/>
    <mergeCell ref="AH89:AH90"/>
    <mergeCell ref="AG26:AG27"/>
    <mergeCell ref="AG73:AG74"/>
    <mergeCell ref="AH26:AH27"/>
    <mergeCell ref="AH73:AH74"/>
    <mergeCell ref="AG30:AG31"/>
    <mergeCell ref="AG77:AG78"/>
    <mergeCell ref="AH30:AH31"/>
    <mergeCell ref="AH77:AH78"/>
    <mergeCell ref="AG34:AG35"/>
    <mergeCell ref="AH34:AH35"/>
    <mergeCell ref="AG83:AG84"/>
    <mergeCell ref="AH83:AH84"/>
    <mergeCell ref="AH66:AH67"/>
    <mergeCell ref="AH28:AH29"/>
    <mergeCell ref="AG58:AG59"/>
    <mergeCell ref="AH58:AH59"/>
    <mergeCell ref="AG32:AG33"/>
    <mergeCell ref="AL89:AL90"/>
    <mergeCell ref="AL77:AL78"/>
    <mergeCell ref="AL73:AL74"/>
    <mergeCell ref="AL71:AL72"/>
    <mergeCell ref="AL56:AL57"/>
    <mergeCell ref="AL44:AL45"/>
    <mergeCell ref="AL40:AL41"/>
    <mergeCell ref="AL38:AL39"/>
    <mergeCell ref="AL34:AL35"/>
    <mergeCell ref="AL30:AL31"/>
    <mergeCell ref="AL26:AL27"/>
    <mergeCell ref="AL24:AL25"/>
    <mergeCell ref="AL18:AL19"/>
    <mergeCell ref="AL14:AL15"/>
    <mergeCell ref="AL10:AL11"/>
    <mergeCell ref="AL8:AL9"/>
    <mergeCell ref="AJ8:AJ9"/>
    <mergeCell ref="AJ10:AJ11"/>
    <mergeCell ref="AJ38:AJ39"/>
    <mergeCell ref="AJ40:AJ41"/>
    <mergeCell ref="AJ56:AJ57"/>
    <mergeCell ref="AK8:AK9"/>
    <mergeCell ref="AK10:AK11"/>
    <mergeCell ref="AK38:AK39"/>
    <mergeCell ref="AK40:AK41"/>
    <mergeCell ref="AK56:AK57"/>
    <mergeCell ref="AJ14:AJ15"/>
    <mergeCell ref="AJ44:AJ45"/>
    <mergeCell ref="AJ18:AJ19"/>
    <mergeCell ref="AK14:AK15"/>
    <mergeCell ref="AK44:AK45"/>
    <mergeCell ref="AK18:AK19"/>
    <mergeCell ref="AJ24:AJ25"/>
    <mergeCell ref="AJ26:AJ27"/>
    <mergeCell ref="AJ71:AJ72"/>
    <mergeCell ref="AJ73:AJ74"/>
    <mergeCell ref="AJ89:AJ90"/>
    <mergeCell ref="AK24:AK25"/>
    <mergeCell ref="AK26:AK27"/>
    <mergeCell ref="AK71:AK72"/>
    <mergeCell ref="AK73:AK74"/>
    <mergeCell ref="AK89:AK90"/>
    <mergeCell ref="AJ30:AJ31"/>
    <mergeCell ref="AJ77:AJ78"/>
    <mergeCell ref="AK30:AK31"/>
    <mergeCell ref="AK77:AK78"/>
    <mergeCell ref="AJ34:AJ35"/>
    <mergeCell ref="AK34:AK35"/>
    <mergeCell ref="AJ93:AJ94"/>
    <mergeCell ref="AK93:AK94"/>
    <mergeCell ref="AJ83:AJ84"/>
    <mergeCell ref="AK83:AK84"/>
    <mergeCell ref="AJ28:AJ29"/>
    <mergeCell ref="AM89:AM90"/>
    <mergeCell ref="AN24:AN25"/>
    <mergeCell ref="AN71:AN72"/>
    <mergeCell ref="AN89:AN90"/>
    <mergeCell ref="AM26:AM27"/>
    <mergeCell ref="AM73:AM74"/>
    <mergeCell ref="AN26:AN27"/>
    <mergeCell ref="AN73:AN74"/>
    <mergeCell ref="AM30:AM31"/>
    <mergeCell ref="AM77:AM78"/>
    <mergeCell ref="AN30:AN31"/>
    <mergeCell ref="AN77:AN78"/>
    <mergeCell ref="AM60:AM61"/>
    <mergeCell ref="AN60:AN61"/>
    <mergeCell ref="AN38:AN39"/>
    <mergeCell ref="AN40:AN41"/>
    <mergeCell ref="AM34:AM35"/>
    <mergeCell ref="AM58:AM59"/>
    <mergeCell ref="AN58:AN59"/>
    <mergeCell ref="AR71:AR72"/>
    <mergeCell ref="AR73:AR74"/>
    <mergeCell ref="AR77:AR78"/>
    <mergeCell ref="AQ71:AQ72"/>
    <mergeCell ref="AQ73:AQ74"/>
    <mergeCell ref="AM10:AM11"/>
    <mergeCell ref="AM38:AM39"/>
    <mergeCell ref="AM40:AM41"/>
    <mergeCell ref="AM56:AM57"/>
    <mergeCell ref="AN8:AN9"/>
    <mergeCell ref="AN10:AN11"/>
    <mergeCell ref="AN56:AN57"/>
    <mergeCell ref="AM14:AM15"/>
    <mergeCell ref="AM44:AM45"/>
    <mergeCell ref="AN14:AN15"/>
    <mergeCell ref="AN44:AN45"/>
    <mergeCell ref="AM18:AM19"/>
    <mergeCell ref="AN18:AN19"/>
    <mergeCell ref="AM24:AM25"/>
    <mergeCell ref="AM71:AM72"/>
    <mergeCell ref="AP34:AP35"/>
    <mergeCell ref="AQ34:AQ35"/>
    <mergeCell ref="AP60:AP61"/>
    <mergeCell ref="AQ60:AQ61"/>
    <mergeCell ref="AN34:AN35"/>
    <mergeCell ref="AR8:AR9"/>
    <mergeCell ref="AR10:AR11"/>
    <mergeCell ref="AR14:AR15"/>
    <mergeCell ref="AR18:AR19"/>
    <mergeCell ref="AR24:AR25"/>
    <mergeCell ref="AR26:AR27"/>
    <mergeCell ref="AR30:AR31"/>
    <mergeCell ref="AR44:AR45"/>
    <mergeCell ref="AR56:AR57"/>
    <mergeCell ref="AR60:AR61"/>
    <mergeCell ref="AT26:AT27"/>
    <mergeCell ref="AT73:AT74"/>
    <mergeCell ref="AS30:AS31"/>
    <mergeCell ref="AS77:AS78"/>
    <mergeCell ref="AR89:AR90"/>
    <mergeCell ref="AR93:AR94"/>
    <mergeCell ref="AP8:AP9"/>
    <mergeCell ref="AP10:AP11"/>
    <mergeCell ref="AP38:AP39"/>
    <mergeCell ref="AP40:AP41"/>
    <mergeCell ref="AP56:AP57"/>
    <mergeCell ref="AQ8:AQ9"/>
    <mergeCell ref="AQ10:AQ11"/>
    <mergeCell ref="AQ38:AQ39"/>
    <mergeCell ref="AQ40:AQ41"/>
    <mergeCell ref="AQ56:AQ57"/>
    <mergeCell ref="AP14:AP15"/>
    <mergeCell ref="AP44:AP45"/>
    <mergeCell ref="AQ14:AQ15"/>
    <mergeCell ref="AQ44:AQ45"/>
    <mergeCell ref="AP18:AP19"/>
    <mergeCell ref="AQ18:AQ19"/>
    <mergeCell ref="AP24:AP25"/>
    <mergeCell ref="AP26:AP27"/>
    <mergeCell ref="AP71:AP72"/>
    <mergeCell ref="AP73:AP74"/>
    <mergeCell ref="AP89:AP90"/>
    <mergeCell ref="AQ24:AQ25"/>
    <mergeCell ref="AQ26:AQ27"/>
    <mergeCell ref="AP30:AP31"/>
    <mergeCell ref="AP77:AP78"/>
    <mergeCell ref="AQ30:AQ31"/>
    <mergeCell ref="AV60:AV61"/>
    <mergeCell ref="AW60:AW61"/>
    <mergeCell ref="AV93:AV94"/>
    <mergeCell ref="AW93:AW94"/>
    <mergeCell ref="AQ89:AQ90"/>
    <mergeCell ref="AP93:AP94"/>
    <mergeCell ref="AQ93:AQ94"/>
    <mergeCell ref="AQ77:AQ78"/>
    <mergeCell ref="AS8:AS9"/>
    <mergeCell ref="AS10:AS11"/>
    <mergeCell ref="AS38:AS39"/>
    <mergeCell ref="AS40:AS41"/>
    <mergeCell ref="AS56:AS57"/>
    <mergeCell ref="AT56:AT57"/>
    <mergeCell ref="AT38:AT39"/>
    <mergeCell ref="AT40:AT41"/>
    <mergeCell ref="AT8:AT9"/>
    <mergeCell ref="AT10:AT11"/>
    <mergeCell ref="AS14:AS15"/>
    <mergeCell ref="AS44:AS45"/>
    <mergeCell ref="AT14:AT15"/>
    <mergeCell ref="AT44:AT45"/>
    <mergeCell ref="AS18:AS19"/>
    <mergeCell ref="AT18:AT19"/>
    <mergeCell ref="AS24:AS25"/>
    <mergeCell ref="AS71:AS72"/>
    <mergeCell ref="AS89:AS90"/>
    <mergeCell ref="AT24:AT25"/>
    <mergeCell ref="AT71:AT72"/>
    <mergeCell ref="AT89:AT90"/>
    <mergeCell ref="AS26:AS27"/>
    <mergeCell ref="AS73:AS74"/>
    <mergeCell ref="AV30:AV31"/>
    <mergeCell ref="AW30:AW31"/>
    <mergeCell ref="AV34:AV35"/>
    <mergeCell ref="AW34:AW35"/>
    <mergeCell ref="AS93:AS94"/>
    <mergeCell ref="AT77:AT78"/>
    <mergeCell ref="AT93:AT94"/>
    <mergeCell ref="AS34:AS35"/>
    <mergeCell ref="AT34:AT35"/>
    <mergeCell ref="AS60:AS61"/>
    <mergeCell ref="AT60:AT61"/>
    <mergeCell ref="AT30:AT31"/>
    <mergeCell ref="AX60:AX61"/>
    <mergeCell ref="AX93:AX94"/>
    <mergeCell ref="AX89:AX90"/>
    <mergeCell ref="AX77:AX78"/>
    <mergeCell ref="AX73:AX74"/>
    <mergeCell ref="AX71:AX72"/>
    <mergeCell ref="AX56:AX57"/>
    <mergeCell ref="AX44:AX45"/>
    <mergeCell ref="AX40:AX41"/>
    <mergeCell ref="AX38:AX39"/>
    <mergeCell ref="AX34:AX35"/>
    <mergeCell ref="AX30:AX31"/>
    <mergeCell ref="AV71:AV72"/>
    <mergeCell ref="AV73:AV74"/>
    <mergeCell ref="AV89:AV90"/>
    <mergeCell ref="AW71:AW72"/>
    <mergeCell ref="AW73:AW74"/>
    <mergeCell ref="AW89:AW90"/>
    <mergeCell ref="AV77:AV78"/>
    <mergeCell ref="AW77:AW78"/>
    <mergeCell ref="AY44:AY45"/>
    <mergeCell ref="AZ14:AZ15"/>
    <mergeCell ref="AZ44:AZ45"/>
    <mergeCell ref="AY18:AY19"/>
    <mergeCell ref="AZ18:AZ19"/>
    <mergeCell ref="AY24:AY25"/>
    <mergeCell ref="AX26:AX27"/>
    <mergeCell ref="AX24:AX25"/>
    <mergeCell ref="AX18:AX19"/>
    <mergeCell ref="AX14:AX15"/>
    <mergeCell ref="AX10:AX11"/>
    <mergeCell ref="AX8:AX9"/>
    <mergeCell ref="AV8:AV9"/>
    <mergeCell ref="AV10:AV11"/>
    <mergeCell ref="AV38:AV39"/>
    <mergeCell ref="AV40:AV41"/>
    <mergeCell ref="AV56:AV57"/>
    <mergeCell ref="AW8:AW9"/>
    <mergeCell ref="AW10:AW11"/>
    <mergeCell ref="AW38:AW39"/>
    <mergeCell ref="AW40:AW41"/>
    <mergeCell ref="AW56:AW57"/>
    <mergeCell ref="AV14:AV15"/>
    <mergeCell ref="AV44:AV45"/>
    <mergeCell ref="AW44:AW45"/>
    <mergeCell ref="AW14:AW15"/>
    <mergeCell ref="AV18:AV19"/>
    <mergeCell ref="AW18:AW19"/>
    <mergeCell ref="AV24:AV25"/>
    <mergeCell ref="AV26:AV27"/>
    <mergeCell ref="AW24:AW25"/>
    <mergeCell ref="AW26:AW27"/>
    <mergeCell ref="BD10:BD11"/>
    <mergeCell ref="BD8:BD9"/>
    <mergeCell ref="AY71:AY72"/>
    <mergeCell ref="AY89:AY90"/>
    <mergeCell ref="AZ24:AZ25"/>
    <mergeCell ref="AZ71:AZ72"/>
    <mergeCell ref="AZ89:AZ90"/>
    <mergeCell ref="AY26:AY27"/>
    <mergeCell ref="AY73:AY74"/>
    <mergeCell ref="AZ26:AZ27"/>
    <mergeCell ref="AZ73:AZ74"/>
    <mergeCell ref="AY30:AY31"/>
    <mergeCell ref="AY77:AY78"/>
    <mergeCell ref="AY93:AY94"/>
    <mergeCell ref="AZ30:AZ31"/>
    <mergeCell ref="AZ77:AZ78"/>
    <mergeCell ref="AZ93:AZ94"/>
    <mergeCell ref="AY60:AY61"/>
    <mergeCell ref="AZ60:AZ61"/>
    <mergeCell ref="AY34:AY35"/>
    <mergeCell ref="AZ34:AZ35"/>
    <mergeCell ref="AY8:AY9"/>
    <mergeCell ref="AY10:AY11"/>
    <mergeCell ref="AY38:AY39"/>
    <mergeCell ref="AY40:AY41"/>
    <mergeCell ref="AY56:AY57"/>
    <mergeCell ref="AZ8:AZ9"/>
    <mergeCell ref="AZ10:AZ11"/>
    <mergeCell ref="AZ38:AZ39"/>
    <mergeCell ref="AZ56:AZ57"/>
    <mergeCell ref="AY14:AY15"/>
    <mergeCell ref="BB14:BB15"/>
    <mergeCell ref="BB44:BB45"/>
    <mergeCell ref="BC14:BC15"/>
    <mergeCell ref="BC44:BC45"/>
    <mergeCell ref="BB60:BB61"/>
    <mergeCell ref="BC60:BC61"/>
    <mergeCell ref="BB18:BB19"/>
    <mergeCell ref="BC18:BC19"/>
    <mergeCell ref="BB24:BB25"/>
    <mergeCell ref="BB26:BB27"/>
    <mergeCell ref="BD93:BD94"/>
    <mergeCell ref="BD89:BD90"/>
    <mergeCell ref="BD77:BD78"/>
    <mergeCell ref="BD73:BD74"/>
    <mergeCell ref="BD71:BD72"/>
    <mergeCell ref="BD56:BD57"/>
    <mergeCell ref="BD44:BD45"/>
    <mergeCell ref="BD40:BD41"/>
    <mergeCell ref="BD38:BD39"/>
    <mergeCell ref="BD34:BD35"/>
    <mergeCell ref="BD30:BD31"/>
    <mergeCell ref="BD26:BD27"/>
    <mergeCell ref="BD24:BD25"/>
    <mergeCell ref="BD18:BD19"/>
    <mergeCell ref="BD14:BD15"/>
    <mergeCell ref="BD91:BD92"/>
    <mergeCell ref="BD85:BD86"/>
    <mergeCell ref="BB42:BB43"/>
    <mergeCell ref="BC42:BC43"/>
    <mergeCell ref="BD42:BD43"/>
    <mergeCell ref="BF71:BF72"/>
    <mergeCell ref="BB16:BB17"/>
    <mergeCell ref="BC16:BC17"/>
    <mergeCell ref="BB71:BB72"/>
    <mergeCell ref="BB73:BB74"/>
    <mergeCell ref="BB89:BB90"/>
    <mergeCell ref="BC24:BC25"/>
    <mergeCell ref="BC26:BC27"/>
    <mergeCell ref="BC71:BC72"/>
    <mergeCell ref="BC73:BC74"/>
    <mergeCell ref="BC89:BC90"/>
    <mergeCell ref="BB30:BB31"/>
    <mergeCell ref="BB77:BB78"/>
    <mergeCell ref="BC30:BC31"/>
    <mergeCell ref="BC77:BC78"/>
    <mergeCell ref="BB93:BB94"/>
    <mergeCell ref="BB34:BB35"/>
    <mergeCell ref="BC34:BC35"/>
    <mergeCell ref="BC93:BC94"/>
    <mergeCell ref="BB20:BF21"/>
    <mergeCell ref="BE79:BE80"/>
    <mergeCell ref="BF79:BF80"/>
    <mergeCell ref="BE81:BF82"/>
    <mergeCell ref="BF75:BF76"/>
    <mergeCell ref="BE48:BF49"/>
    <mergeCell ref="BD32:BD33"/>
    <mergeCell ref="BF22:BF23"/>
    <mergeCell ref="K66:K80"/>
    <mergeCell ref="K89:K96"/>
    <mergeCell ref="BB36:BF37"/>
    <mergeCell ref="BE8:BE9"/>
    <mergeCell ref="BE10:BE11"/>
    <mergeCell ref="BE38:BE39"/>
    <mergeCell ref="BE40:BE41"/>
    <mergeCell ref="BE56:BE57"/>
    <mergeCell ref="BE93:BE94"/>
    <mergeCell ref="BB8:BB9"/>
    <mergeCell ref="BB10:BB11"/>
    <mergeCell ref="BB38:BB39"/>
    <mergeCell ref="BB40:BB41"/>
    <mergeCell ref="BB56:BB57"/>
    <mergeCell ref="BC8:BC9"/>
    <mergeCell ref="BC10:BC11"/>
    <mergeCell ref="BC38:BC39"/>
    <mergeCell ref="BC40:BC41"/>
    <mergeCell ref="BC56:BC57"/>
    <mergeCell ref="BF93:BF94"/>
    <mergeCell ref="BF8:BF9"/>
    <mergeCell ref="BF10:BF11"/>
    <mergeCell ref="BF38:BF39"/>
    <mergeCell ref="BF40:BF41"/>
    <mergeCell ref="BF56:BF57"/>
    <mergeCell ref="BE14:BE15"/>
    <mergeCell ref="BE44:BE45"/>
    <mergeCell ref="BF14:BF15"/>
    <mergeCell ref="BF44:BF45"/>
    <mergeCell ref="BE18:BE19"/>
    <mergeCell ref="BF18:BF19"/>
    <mergeCell ref="BE24:BE25"/>
    <mergeCell ref="BA99:BA124"/>
    <mergeCell ref="BA89:BA96"/>
    <mergeCell ref="BA71:BA80"/>
    <mergeCell ref="BA56:BA63"/>
    <mergeCell ref="L36:P37"/>
    <mergeCell ref="AV36:AZ37"/>
    <mergeCell ref="AU71:AU80"/>
    <mergeCell ref="AU89:AU96"/>
    <mergeCell ref="AC99:AC124"/>
    <mergeCell ref="AC89:AC96"/>
    <mergeCell ref="X70:AB70"/>
    <mergeCell ref="AC66:AC80"/>
    <mergeCell ref="X36:AB37"/>
    <mergeCell ref="R36:V37"/>
    <mergeCell ref="BF89:BF90"/>
    <mergeCell ref="BF24:BF25"/>
    <mergeCell ref="BE26:BE27"/>
    <mergeCell ref="BE73:BE74"/>
    <mergeCell ref="BF26:BF27"/>
    <mergeCell ref="BF73:BF74"/>
    <mergeCell ref="BE30:BE31"/>
    <mergeCell ref="BF30:BF31"/>
    <mergeCell ref="BE34:BE35"/>
    <mergeCell ref="BF34:BF35"/>
    <mergeCell ref="BE60:BE61"/>
    <mergeCell ref="BF60:BF61"/>
    <mergeCell ref="BE77:BE78"/>
    <mergeCell ref="BF77:BF78"/>
    <mergeCell ref="BE91:BE92"/>
    <mergeCell ref="BF91:BF92"/>
    <mergeCell ref="BE71:BE72"/>
    <mergeCell ref="BE89:BE90"/>
    <mergeCell ref="BB4:BF4"/>
    <mergeCell ref="AV4:AZ4"/>
    <mergeCell ref="AP4:AT4"/>
    <mergeCell ref="AJ4:AN4"/>
    <mergeCell ref="A20:J20"/>
    <mergeCell ref="X4:AB4"/>
    <mergeCell ref="AD4:AH4"/>
    <mergeCell ref="AD20:AH21"/>
    <mergeCell ref="AD36:AH37"/>
    <mergeCell ref="AI66:AI80"/>
    <mergeCell ref="AI99:AI124"/>
    <mergeCell ref="AD103:AH103"/>
    <mergeCell ref="AI89:AI96"/>
    <mergeCell ref="AJ20:AN21"/>
    <mergeCell ref="AJ36:AN37"/>
    <mergeCell ref="AJ70:AN70"/>
    <mergeCell ref="AO66:AO80"/>
    <mergeCell ref="AO99:AO124"/>
    <mergeCell ref="AO89:AO96"/>
    <mergeCell ref="AP36:AT37"/>
    <mergeCell ref="AP20:AT21"/>
    <mergeCell ref="F118:J118"/>
    <mergeCell ref="L122:P122"/>
    <mergeCell ref="L118:P118"/>
    <mergeCell ref="R118:V118"/>
    <mergeCell ref="R122:V122"/>
    <mergeCell ref="R103:V103"/>
    <mergeCell ref="W99:W124"/>
    <mergeCell ref="Q89:Q96"/>
    <mergeCell ref="W89:W96"/>
    <mergeCell ref="Q66:Q80"/>
    <mergeCell ref="W66:W8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8</vt:i4>
      </vt:variant>
    </vt:vector>
  </HeadingPairs>
  <TitlesOfParts>
    <vt:vector size="11" baseType="lpstr">
      <vt:lpstr>Тарифы</vt:lpstr>
      <vt:lpstr>Тарифы для онкодиспансеров</vt:lpstr>
      <vt:lpstr>Группировка по "одноклассникам"</vt:lpstr>
      <vt:lpstr>'Группировка по "одноклассникам"'!_1fob9te</vt:lpstr>
      <vt:lpstr>'Группировка по "одноклассникам"'!_1t3h5sf</vt:lpstr>
      <vt:lpstr>'Группировка по "одноклассникам"'!_2et92p0</vt:lpstr>
      <vt:lpstr>'Группировка по "одноклассникам"'!_30j0zll</vt:lpstr>
      <vt:lpstr>'Группировка по "одноклассникам"'!_3dy6vkm</vt:lpstr>
      <vt:lpstr>'Группировка по "одноклассникам"'!_3znysh7</vt:lpstr>
      <vt:lpstr>'Группировка по "одноклассникам"'!_gjdgxs</vt:lpstr>
      <vt:lpstr>'Группировка по "одноклассникам"'!_tyjcwt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София Дронова</dc:creator>
  <cp:lastModifiedBy>София Дронова</cp:lastModifiedBy>
  <dcterms:created xsi:type="dcterms:W3CDTF">2022-04-04T12:39:08Z</dcterms:created>
  <dcterms:modified xsi:type="dcterms:W3CDTF">2022-04-25T09:00:54Z</dcterms:modified>
</cp:coreProperties>
</file>